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qOy+i22i7Tb2ALgw2KN5vt3R0r7zH68VD+E4l8VK/K8umx5jveRHYxRIt43+7zKvHHGAMIGkyrgIACIxDvwoQg==" workbookSaltValue="s2c/5KWI+/ZNFM7MWw6atw==" workbookSpinCount="100000" lockStructure="1"/>
  <bookViews>
    <workbookView xWindow="0" yWindow="0" windowWidth="30720" windowHeight="13515" tabRatio="705"/>
  </bookViews>
  <sheets>
    <sheet name="By_country" sheetId="26" r:id="rId1"/>
    <sheet name="Petty Cash" sheetId="15" state="hidden" r:id="rId2"/>
    <sheet name="UAE_detail" sheetId="4" r:id="rId3"/>
    <sheet name="2015 ASL" sheetId="23" state="hidden" r:id="rId4"/>
    <sheet name="2015 Appr staffing table" sheetId="25" state="hidden" r:id="rId5"/>
    <sheet name="2015 ProForma" sheetId="24" state="hidden" r:id="rId6"/>
    <sheet name="staff_change" sheetId="2" state="hidden" r:id="rId7"/>
    <sheet name="ASL" sheetId="18" state="hidden" r:id="rId8"/>
  </sheets>
  <definedNames>
    <definedName name="_xlnm._FilterDatabase" localSheetId="3" hidden="1">'2015 ASL'!$C$4:$AJ$125</definedName>
    <definedName name="Country_List">#REF!</definedName>
    <definedName name="_xlnm.Print_Titles" localSheetId="3">'2015 ASL'!$4:$4</definedName>
    <definedName name="PROFORMANOGS">#REF!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H6" i="18" l="1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5" i="18"/>
  <c r="R117" i="23"/>
  <c r="S117" i="23"/>
  <c r="V117" i="23"/>
  <c r="W117" i="23"/>
  <c r="X117" i="23"/>
  <c r="Y117" i="23"/>
  <c r="AA117" i="23"/>
  <c r="AB117" i="23"/>
  <c r="L8" i="4" l="1"/>
  <c r="Q8" i="4" l="1"/>
  <c r="P8" i="4"/>
  <c r="O8" i="4"/>
  <c r="N8" i="4"/>
  <c r="M8" i="4"/>
  <c r="K8" i="4"/>
  <c r="J8" i="4"/>
  <c r="I8" i="4"/>
  <c r="H8" i="4"/>
  <c r="G8" i="4"/>
  <c r="S85" i="25" l="1"/>
  <c r="D6" i="4" l="1"/>
  <c r="D11" i="4"/>
  <c r="S5" i="23" l="1"/>
  <c r="F6" i="23" l="1"/>
  <c r="G6" i="23"/>
  <c r="H6" i="23"/>
  <c r="I6" i="23"/>
  <c r="J6" i="23"/>
  <c r="L6" i="23"/>
  <c r="F7" i="23"/>
  <c r="G7" i="23"/>
  <c r="H7" i="23"/>
  <c r="I7" i="23"/>
  <c r="J7" i="23"/>
  <c r="L7" i="23"/>
  <c r="F8" i="23"/>
  <c r="G8" i="23"/>
  <c r="H8" i="23"/>
  <c r="I8" i="23"/>
  <c r="J8" i="23"/>
  <c r="L8" i="23"/>
  <c r="F9" i="23"/>
  <c r="G9" i="23"/>
  <c r="H9" i="23"/>
  <c r="I9" i="23"/>
  <c r="J9" i="23"/>
  <c r="L9" i="23"/>
  <c r="F10" i="23"/>
  <c r="G10" i="23"/>
  <c r="H10" i="23"/>
  <c r="I10" i="23"/>
  <c r="J10" i="23"/>
  <c r="L10" i="23"/>
  <c r="F11" i="23"/>
  <c r="G11" i="23"/>
  <c r="H11" i="23"/>
  <c r="I11" i="23"/>
  <c r="J11" i="23"/>
  <c r="L11" i="23"/>
  <c r="F12" i="23"/>
  <c r="G12" i="23"/>
  <c r="H12" i="23"/>
  <c r="I12" i="23"/>
  <c r="J12" i="23"/>
  <c r="L12" i="23"/>
  <c r="F13" i="23"/>
  <c r="G13" i="23"/>
  <c r="H13" i="23"/>
  <c r="I13" i="23"/>
  <c r="J13" i="23"/>
  <c r="L13" i="23"/>
  <c r="F14" i="23"/>
  <c r="G14" i="23"/>
  <c r="H14" i="23"/>
  <c r="I14" i="23"/>
  <c r="J14" i="23"/>
  <c r="L14" i="23"/>
  <c r="F15" i="23"/>
  <c r="G15" i="23"/>
  <c r="H15" i="23"/>
  <c r="I15" i="23"/>
  <c r="J15" i="23"/>
  <c r="L15" i="23"/>
  <c r="F16" i="23"/>
  <c r="G16" i="23"/>
  <c r="H16" i="23"/>
  <c r="I16" i="23"/>
  <c r="J16" i="23"/>
  <c r="L16" i="23"/>
  <c r="F17" i="23"/>
  <c r="G17" i="23"/>
  <c r="H17" i="23"/>
  <c r="I17" i="23"/>
  <c r="J17" i="23"/>
  <c r="L17" i="23"/>
  <c r="F18" i="23"/>
  <c r="G18" i="23"/>
  <c r="H18" i="23"/>
  <c r="I18" i="23"/>
  <c r="J18" i="23"/>
  <c r="L18" i="23"/>
  <c r="F19" i="23"/>
  <c r="G19" i="23"/>
  <c r="H19" i="23"/>
  <c r="I19" i="23"/>
  <c r="J19" i="23"/>
  <c r="L19" i="23"/>
  <c r="F20" i="23"/>
  <c r="G20" i="23"/>
  <c r="H20" i="23"/>
  <c r="I20" i="23"/>
  <c r="J20" i="23"/>
  <c r="L20" i="23"/>
  <c r="F21" i="23"/>
  <c r="G21" i="23"/>
  <c r="H21" i="23"/>
  <c r="I21" i="23"/>
  <c r="J21" i="23"/>
  <c r="L21" i="23"/>
  <c r="F22" i="23"/>
  <c r="G22" i="23"/>
  <c r="H22" i="23"/>
  <c r="I22" i="23"/>
  <c r="J22" i="23"/>
  <c r="L22" i="23"/>
  <c r="F23" i="23"/>
  <c r="G23" i="23"/>
  <c r="H23" i="23"/>
  <c r="I23" i="23"/>
  <c r="J23" i="23"/>
  <c r="L23" i="23"/>
  <c r="F24" i="23"/>
  <c r="G24" i="23"/>
  <c r="H24" i="23"/>
  <c r="I24" i="23"/>
  <c r="J24" i="23"/>
  <c r="L24" i="23"/>
  <c r="F25" i="23"/>
  <c r="G25" i="23"/>
  <c r="H25" i="23"/>
  <c r="I25" i="23"/>
  <c r="J25" i="23"/>
  <c r="L25" i="23"/>
  <c r="F26" i="23"/>
  <c r="G26" i="23"/>
  <c r="H26" i="23"/>
  <c r="I26" i="23"/>
  <c r="J26" i="23"/>
  <c r="L26" i="23"/>
  <c r="F27" i="23"/>
  <c r="G27" i="23"/>
  <c r="H27" i="23"/>
  <c r="I27" i="23"/>
  <c r="J27" i="23"/>
  <c r="L27" i="23"/>
  <c r="F28" i="23"/>
  <c r="G28" i="23"/>
  <c r="H28" i="23"/>
  <c r="I28" i="23"/>
  <c r="J28" i="23"/>
  <c r="L28" i="23"/>
  <c r="F29" i="23"/>
  <c r="G29" i="23"/>
  <c r="H29" i="23"/>
  <c r="I29" i="23"/>
  <c r="J29" i="23"/>
  <c r="L29" i="23"/>
  <c r="F30" i="23"/>
  <c r="G30" i="23"/>
  <c r="H30" i="23"/>
  <c r="I30" i="23"/>
  <c r="J30" i="23"/>
  <c r="L30" i="23"/>
  <c r="F31" i="23"/>
  <c r="G31" i="23"/>
  <c r="H31" i="23"/>
  <c r="I31" i="23"/>
  <c r="J31" i="23"/>
  <c r="L31" i="23"/>
  <c r="F32" i="23"/>
  <c r="G32" i="23"/>
  <c r="H32" i="23"/>
  <c r="I32" i="23"/>
  <c r="J32" i="23"/>
  <c r="L32" i="23"/>
  <c r="F33" i="23"/>
  <c r="G33" i="23"/>
  <c r="H33" i="23"/>
  <c r="I33" i="23"/>
  <c r="J33" i="23"/>
  <c r="L33" i="23"/>
  <c r="F34" i="23"/>
  <c r="G34" i="23"/>
  <c r="H34" i="23"/>
  <c r="I34" i="23"/>
  <c r="J34" i="23"/>
  <c r="L34" i="23"/>
  <c r="F35" i="23"/>
  <c r="G35" i="23"/>
  <c r="H35" i="23"/>
  <c r="I35" i="23"/>
  <c r="J35" i="23"/>
  <c r="L35" i="23"/>
  <c r="F36" i="23"/>
  <c r="G36" i="23"/>
  <c r="H36" i="23"/>
  <c r="I36" i="23"/>
  <c r="J36" i="23"/>
  <c r="L36" i="23"/>
  <c r="F37" i="23"/>
  <c r="G37" i="23"/>
  <c r="H37" i="23"/>
  <c r="I37" i="23"/>
  <c r="J37" i="23"/>
  <c r="L37" i="23"/>
  <c r="F38" i="23"/>
  <c r="G38" i="23"/>
  <c r="H38" i="23"/>
  <c r="I38" i="23"/>
  <c r="J38" i="23"/>
  <c r="L38" i="23"/>
  <c r="F39" i="23"/>
  <c r="G39" i="23"/>
  <c r="H39" i="23"/>
  <c r="I39" i="23"/>
  <c r="J39" i="23"/>
  <c r="L39" i="23"/>
  <c r="F40" i="23"/>
  <c r="G40" i="23"/>
  <c r="H40" i="23"/>
  <c r="I40" i="23"/>
  <c r="J40" i="23"/>
  <c r="L40" i="23"/>
  <c r="F41" i="23"/>
  <c r="G41" i="23"/>
  <c r="H41" i="23"/>
  <c r="I41" i="23"/>
  <c r="J41" i="23"/>
  <c r="L41" i="23"/>
  <c r="F42" i="23"/>
  <c r="G42" i="23"/>
  <c r="H42" i="23"/>
  <c r="I42" i="23"/>
  <c r="J42" i="23"/>
  <c r="L42" i="23"/>
  <c r="F43" i="23"/>
  <c r="G43" i="23"/>
  <c r="H43" i="23"/>
  <c r="I43" i="23"/>
  <c r="J43" i="23"/>
  <c r="L43" i="23"/>
  <c r="F44" i="23"/>
  <c r="G44" i="23"/>
  <c r="H44" i="23"/>
  <c r="I44" i="23"/>
  <c r="J44" i="23"/>
  <c r="L44" i="23"/>
  <c r="F45" i="23"/>
  <c r="G45" i="23"/>
  <c r="H45" i="23"/>
  <c r="I45" i="23"/>
  <c r="J45" i="23"/>
  <c r="L45" i="23"/>
  <c r="F46" i="23"/>
  <c r="G46" i="23"/>
  <c r="H46" i="23"/>
  <c r="I46" i="23"/>
  <c r="J46" i="23"/>
  <c r="L46" i="23"/>
  <c r="F47" i="23"/>
  <c r="G47" i="23"/>
  <c r="H47" i="23"/>
  <c r="I47" i="23"/>
  <c r="J47" i="23"/>
  <c r="L47" i="23"/>
  <c r="F48" i="23"/>
  <c r="G48" i="23"/>
  <c r="H48" i="23"/>
  <c r="I48" i="23"/>
  <c r="J48" i="23"/>
  <c r="L48" i="23"/>
  <c r="F49" i="23"/>
  <c r="G49" i="23"/>
  <c r="H49" i="23"/>
  <c r="I49" i="23"/>
  <c r="J49" i="23"/>
  <c r="L49" i="23"/>
  <c r="F50" i="23"/>
  <c r="G50" i="23"/>
  <c r="H50" i="23"/>
  <c r="I50" i="23"/>
  <c r="J50" i="23"/>
  <c r="L50" i="23"/>
  <c r="F51" i="23"/>
  <c r="G51" i="23"/>
  <c r="H51" i="23"/>
  <c r="I51" i="23"/>
  <c r="J51" i="23"/>
  <c r="L51" i="23"/>
  <c r="F52" i="23"/>
  <c r="G52" i="23"/>
  <c r="H52" i="23"/>
  <c r="I52" i="23"/>
  <c r="J52" i="23"/>
  <c r="L52" i="23"/>
  <c r="F53" i="23"/>
  <c r="G53" i="23"/>
  <c r="H53" i="23"/>
  <c r="I53" i="23"/>
  <c r="J53" i="23"/>
  <c r="L53" i="23"/>
  <c r="F54" i="23"/>
  <c r="G54" i="23"/>
  <c r="H54" i="23"/>
  <c r="I54" i="23"/>
  <c r="J54" i="23"/>
  <c r="L54" i="23"/>
  <c r="F55" i="23"/>
  <c r="G55" i="23"/>
  <c r="H55" i="23"/>
  <c r="I55" i="23"/>
  <c r="J55" i="23"/>
  <c r="L55" i="23"/>
  <c r="F56" i="23"/>
  <c r="G56" i="23"/>
  <c r="H56" i="23"/>
  <c r="I56" i="23"/>
  <c r="J56" i="23"/>
  <c r="L56" i="23"/>
  <c r="F57" i="23"/>
  <c r="G57" i="23"/>
  <c r="H57" i="23"/>
  <c r="I57" i="23"/>
  <c r="J57" i="23"/>
  <c r="L57" i="23"/>
  <c r="F58" i="23"/>
  <c r="G58" i="23"/>
  <c r="H58" i="23"/>
  <c r="I58" i="23"/>
  <c r="J58" i="23"/>
  <c r="L58" i="23"/>
  <c r="F59" i="23"/>
  <c r="G59" i="23"/>
  <c r="H59" i="23"/>
  <c r="I59" i="23"/>
  <c r="J59" i="23"/>
  <c r="L59" i="23"/>
  <c r="F60" i="23"/>
  <c r="G60" i="23"/>
  <c r="H60" i="23"/>
  <c r="I60" i="23"/>
  <c r="J60" i="23"/>
  <c r="L60" i="23"/>
  <c r="F61" i="23"/>
  <c r="G61" i="23"/>
  <c r="H61" i="23"/>
  <c r="I61" i="23"/>
  <c r="J61" i="23"/>
  <c r="L61" i="23"/>
  <c r="F62" i="23"/>
  <c r="G62" i="23"/>
  <c r="H62" i="23"/>
  <c r="I62" i="23"/>
  <c r="J62" i="23"/>
  <c r="L62" i="23"/>
  <c r="F63" i="23"/>
  <c r="G63" i="23"/>
  <c r="H63" i="23"/>
  <c r="I63" i="23"/>
  <c r="J63" i="23"/>
  <c r="L63" i="23"/>
  <c r="F64" i="23"/>
  <c r="G64" i="23"/>
  <c r="H64" i="23"/>
  <c r="I64" i="23"/>
  <c r="J64" i="23"/>
  <c r="L64" i="23"/>
  <c r="F65" i="23"/>
  <c r="G65" i="23"/>
  <c r="H65" i="23"/>
  <c r="I65" i="23"/>
  <c r="J65" i="23"/>
  <c r="L65" i="23"/>
  <c r="F66" i="23"/>
  <c r="G66" i="23"/>
  <c r="H66" i="23"/>
  <c r="I66" i="23"/>
  <c r="J66" i="23"/>
  <c r="L66" i="23"/>
  <c r="F67" i="23"/>
  <c r="G67" i="23"/>
  <c r="H67" i="23"/>
  <c r="I67" i="23"/>
  <c r="J67" i="23"/>
  <c r="L67" i="23"/>
  <c r="F68" i="23"/>
  <c r="G68" i="23"/>
  <c r="H68" i="23"/>
  <c r="I68" i="23"/>
  <c r="J68" i="23"/>
  <c r="L68" i="23"/>
  <c r="F69" i="23"/>
  <c r="G69" i="23"/>
  <c r="H69" i="23"/>
  <c r="I69" i="23"/>
  <c r="J69" i="23"/>
  <c r="L69" i="23"/>
  <c r="F70" i="23"/>
  <c r="G70" i="23"/>
  <c r="H70" i="23"/>
  <c r="I70" i="23"/>
  <c r="J70" i="23"/>
  <c r="L70" i="23"/>
  <c r="F71" i="23"/>
  <c r="G71" i="23"/>
  <c r="H71" i="23"/>
  <c r="I71" i="23"/>
  <c r="J71" i="23"/>
  <c r="L71" i="23"/>
  <c r="F72" i="23"/>
  <c r="G72" i="23"/>
  <c r="H72" i="23"/>
  <c r="I72" i="23"/>
  <c r="J72" i="23"/>
  <c r="L72" i="23"/>
  <c r="F73" i="23"/>
  <c r="G73" i="23"/>
  <c r="H73" i="23"/>
  <c r="I73" i="23"/>
  <c r="J73" i="23"/>
  <c r="L73" i="23"/>
  <c r="F74" i="23"/>
  <c r="G74" i="23"/>
  <c r="H74" i="23"/>
  <c r="I74" i="23"/>
  <c r="J74" i="23"/>
  <c r="L74" i="23"/>
  <c r="F75" i="23"/>
  <c r="G75" i="23"/>
  <c r="H75" i="23"/>
  <c r="I75" i="23"/>
  <c r="J75" i="23"/>
  <c r="L75" i="23"/>
  <c r="F76" i="23"/>
  <c r="G76" i="23"/>
  <c r="H76" i="23"/>
  <c r="I76" i="23"/>
  <c r="J76" i="23"/>
  <c r="L76" i="23"/>
  <c r="F77" i="23"/>
  <c r="G77" i="23"/>
  <c r="H77" i="23"/>
  <c r="I77" i="23"/>
  <c r="J77" i="23"/>
  <c r="L77" i="23"/>
  <c r="F78" i="23"/>
  <c r="G78" i="23"/>
  <c r="H78" i="23"/>
  <c r="I78" i="23"/>
  <c r="J78" i="23"/>
  <c r="L78" i="23"/>
  <c r="F79" i="23"/>
  <c r="G79" i="23"/>
  <c r="H79" i="23"/>
  <c r="I79" i="23"/>
  <c r="J79" i="23"/>
  <c r="L79" i="23"/>
  <c r="F80" i="23"/>
  <c r="G80" i="23"/>
  <c r="H80" i="23"/>
  <c r="I80" i="23"/>
  <c r="J80" i="23"/>
  <c r="L80" i="23"/>
  <c r="F81" i="23"/>
  <c r="G81" i="23"/>
  <c r="H81" i="23"/>
  <c r="I81" i="23"/>
  <c r="J81" i="23"/>
  <c r="L81" i="23"/>
  <c r="F82" i="23"/>
  <c r="G82" i="23"/>
  <c r="H82" i="23"/>
  <c r="I82" i="23"/>
  <c r="J82" i="23"/>
  <c r="L82" i="23"/>
  <c r="F83" i="23"/>
  <c r="G83" i="23"/>
  <c r="H83" i="23"/>
  <c r="I83" i="23"/>
  <c r="J83" i="23"/>
  <c r="L83" i="23"/>
  <c r="F84" i="23"/>
  <c r="G84" i="23"/>
  <c r="H84" i="23"/>
  <c r="I84" i="23"/>
  <c r="J84" i="23"/>
  <c r="L84" i="23"/>
  <c r="F85" i="23"/>
  <c r="G85" i="23"/>
  <c r="H85" i="23"/>
  <c r="I85" i="23"/>
  <c r="J85" i="23"/>
  <c r="L85" i="23"/>
  <c r="F86" i="23"/>
  <c r="G86" i="23"/>
  <c r="H86" i="23"/>
  <c r="I86" i="23"/>
  <c r="J86" i="23"/>
  <c r="L86" i="23"/>
  <c r="F87" i="23"/>
  <c r="G87" i="23"/>
  <c r="H87" i="23"/>
  <c r="I87" i="23"/>
  <c r="J87" i="23"/>
  <c r="L87" i="23"/>
  <c r="F88" i="23"/>
  <c r="G88" i="23"/>
  <c r="H88" i="23"/>
  <c r="I88" i="23"/>
  <c r="J88" i="23"/>
  <c r="L88" i="23"/>
  <c r="F89" i="23"/>
  <c r="G89" i="23"/>
  <c r="H89" i="23"/>
  <c r="I89" i="23"/>
  <c r="J89" i="23"/>
  <c r="L89" i="23"/>
  <c r="F90" i="23"/>
  <c r="G90" i="23"/>
  <c r="H90" i="23"/>
  <c r="I90" i="23"/>
  <c r="J90" i="23"/>
  <c r="L90" i="23"/>
  <c r="F91" i="23"/>
  <c r="G91" i="23"/>
  <c r="H91" i="23"/>
  <c r="I91" i="23"/>
  <c r="J91" i="23"/>
  <c r="L91" i="23"/>
  <c r="F92" i="23"/>
  <c r="G92" i="23"/>
  <c r="H92" i="23"/>
  <c r="I92" i="23"/>
  <c r="J92" i="23"/>
  <c r="L92" i="23"/>
  <c r="F93" i="23"/>
  <c r="G93" i="23"/>
  <c r="H93" i="23"/>
  <c r="I93" i="23"/>
  <c r="J93" i="23"/>
  <c r="L93" i="23"/>
  <c r="F94" i="23"/>
  <c r="G94" i="23"/>
  <c r="H94" i="23"/>
  <c r="I94" i="23"/>
  <c r="J94" i="23"/>
  <c r="L94" i="23"/>
  <c r="F95" i="23"/>
  <c r="G95" i="23"/>
  <c r="H95" i="23"/>
  <c r="I95" i="23"/>
  <c r="J95" i="23"/>
  <c r="L95" i="23"/>
  <c r="F96" i="23"/>
  <c r="G96" i="23"/>
  <c r="H96" i="23"/>
  <c r="I96" i="23"/>
  <c r="J96" i="23"/>
  <c r="L96" i="23"/>
  <c r="F97" i="23"/>
  <c r="G97" i="23"/>
  <c r="H97" i="23"/>
  <c r="I97" i="23"/>
  <c r="J97" i="23"/>
  <c r="L97" i="23"/>
  <c r="F98" i="23"/>
  <c r="G98" i="23"/>
  <c r="H98" i="23"/>
  <c r="I98" i="23"/>
  <c r="J98" i="23"/>
  <c r="L98" i="23"/>
  <c r="F99" i="23"/>
  <c r="G99" i="23"/>
  <c r="H99" i="23"/>
  <c r="I99" i="23"/>
  <c r="J99" i="23"/>
  <c r="L99" i="23"/>
  <c r="F100" i="23"/>
  <c r="G100" i="23"/>
  <c r="H100" i="23"/>
  <c r="I100" i="23"/>
  <c r="J100" i="23"/>
  <c r="L100" i="23"/>
  <c r="F101" i="23"/>
  <c r="G101" i="23"/>
  <c r="H101" i="23"/>
  <c r="I101" i="23"/>
  <c r="J101" i="23"/>
  <c r="L101" i="23"/>
  <c r="F102" i="23"/>
  <c r="G102" i="23"/>
  <c r="H102" i="23"/>
  <c r="I102" i="23"/>
  <c r="J102" i="23"/>
  <c r="L102" i="23"/>
  <c r="F103" i="23"/>
  <c r="G103" i="23"/>
  <c r="H103" i="23"/>
  <c r="I103" i="23"/>
  <c r="J103" i="23"/>
  <c r="L103" i="23"/>
  <c r="F104" i="23"/>
  <c r="G104" i="23"/>
  <c r="H104" i="23"/>
  <c r="I104" i="23"/>
  <c r="J104" i="23"/>
  <c r="L104" i="23"/>
  <c r="F106" i="23"/>
  <c r="G106" i="23"/>
  <c r="H106" i="23"/>
  <c r="I106" i="23"/>
  <c r="J106" i="23"/>
  <c r="L106" i="23"/>
  <c r="F107" i="23"/>
  <c r="G107" i="23"/>
  <c r="H107" i="23"/>
  <c r="I107" i="23"/>
  <c r="J107" i="23"/>
  <c r="L107" i="23"/>
  <c r="F108" i="23"/>
  <c r="G108" i="23"/>
  <c r="H108" i="23"/>
  <c r="I108" i="23"/>
  <c r="J108" i="23"/>
  <c r="L108" i="23"/>
  <c r="F109" i="23"/>
  <c r="G109" i="23"/>
  <c r="H109" i="23"/>
  <c r="I109" i="23"/>
  <c r="J109" i="23"/>
  <c r="L109" i="23"/>
  <c r="F110" i="23"/>
  <c r="G110" i="23"/>
  <c r="H110" i="23"/>
  <c r="I110" i="23"/>
  <c r="J110" i="23"/>
  <c r="L110" i="23"/>
  <c r="F111" i="23"/>
  <c r="G111" i="23"/>
  <c r="H111" i="23"/>
  <c r="I111" i="23"/>
  <c r="J111" i="23"/>
  <c r="L111" i="23"/>
  <c r="F112" i="23"/>
  <c r="G112" i="23"/>
  <c r="H112" i="23"/>
  <c r="I112" i="23"/>
  <c r="J112" i="23"/>
  <c r="L112" i="23"/>
  <c r="F113" i="23"/>
  <c r="G113" i="23"/>
  <c r="H113" i="23"/>
  <c r="I113" i="23"/>
  <c r="J113" i="23"/>
  <c r="L113" i="23"/>
  <c r="F114" i="23"/>
  <c r="G114" i="23"/>
  <c r="H114" i="23"/>
  <c r="I114" i="23"/>
  <c r="J114" i="23"/>
  <c r="L114" i="23"/>
  <c r="F115" i="23"/>
  <c r="G115" i="23"/>
  <c r="H115" i="23"/>
  <c r="I115" i="23"/>
  <c r="J115" i="23"/>
  <c r="L115" i="23"/>
  <c r="F116" i="23"/>
  <c r="G116" i="23"/>
  <c r="H116" i="23"/>
  <c r="I116" i="23"/>
  <c r="J116" i="23"/>
  <c r="L116" i="23"/>
  <c r="F117" i="23"/>
  <c r="G117" i="23"/>
  <c r="H117" i="23"/>
  <c r="I117" i="23"/>
  <c r="J117" i="23"/>
  <c r="L117" i="23"/>
  <c r="F118" i="23"/>
  <c r="G118" i="23"/>
  <c r="H118" i="23"/>
  <c r="I118" i="23"/>
  <c r="J118" i="23"/>
  <c r="L118" i="23"/>
  <c r="F119" i="23"/>
  <c r="G119" i="23"/>
  <c r="H119" i="23"/>
  <c r="I119" i="23"/>
  <c r="J119" i="23"/>
  <c r="L119" i="23"/>
  <c r="F120" i="23"/>
  <c r="G120" i="23"/>
  <c r="H120" i="23"/>
  <c r="I120" i="23"/>
  <c r="J120" i="23"/>
  <c r="L120" i="23"/>
  <c r="F121" i="23"/>
  <c r="G121" i="23"/>
  <c r="H121" i="23"/>
  <c r="I121" i="23"/>
  <c r="J121" i="23"/>
  <c r="L121" i="23"/>
  <c r="F122" i="23"/>
  <c r="G122" i="23"/>
  <c r="H122" i="23"/>
  <c r="I122" i="23"/>
  <c r="J122" i="23"/>
  <c r="L122" i="23"/>
  <c r="F123" i="23"/>
  <c r="G123" i="23"/>
  <c r="H123" i="23"/>
  <c r="I123" i="23"/>
  <c r="J123" i="23"/>
  <c r="L123" i="23"/>
  <c r="F124" i="23"/>
  <c r="G124" i="23"/>
  <c r="H124" i="23"/>
  <c r="I124" i="23"/>
  <c r="J124" i="23"/>
  <c r="L124" i="23"/>
  <c r="L5" i="23"/>
  <c r="G5" i="23"/>
  <c r="H5" i="23"/>
  <c r="I5" i="23"/>
  <c r="J5" i="23"/>
  <c r="F5" i="23"/>
  <c r="K121" i="23" l="1"/>
  <c r="K117" i="23"/>
  <c r="K93" i="23"/>
  <c r="K9" i="23"/>
  <c r="K86" i="23"/>
  <c r="K109" i="23"/>
  <c r="K97" i="23"/>
  <c r="K89" i="23"/>
  <c r="K25" i="23"/>
  <c r="K21" i="23"/>
  <c r="K107" i="23"/>
  <c r="K103" i="23"/>
  <c r="K85" i="23"/>
  <c r="K29" i="23"/>
  <c r="K17" i="23"/>
  <c r="K13" i="23"/>
  <c r="K83" i="23"/>
  <c r="K79" i="23"/>
  <c r="K75" i="23"/>
  <c r="K71" i="23"/>
  <c r="K67" i="23"/>
  <c r="K63" i="23"/>
  <c r="K59" i="23"/>
  <c r="K55" i="23"/>
  <c r="K51" i="23"/>
  <c r="K47" i="23"/>
  <c r="K43" i="23"/>
  <c r="K39" i="23"/>
  <c r="K35" i="23"/>
  <c r="K31" i="23"/>
  <c r="K15" i="23"/>
  <c r="K116" i="23"/>
  <c r="K112" i="23"/>
  <c r="K20" i="23"/>
  <c r="K18" i="23"/>
  <c r="K118" i="23"/>
  <c r="K113" i="23"/>
  <c r="K108" i="23"/>
  <c r="K104" i="23"/>
  <c r="K102" i="23"/>
  <c r="K100" i="23"/>
  <c r="K82" i="23"/>
  <c r="K78" i="23"/>
  <c r="K76" i="23"/>
  <c r="K72" i="23"/>
  <c r="K68" i="23"/>
  <c r="K64" i="23"/>
  <c r="K60" i="23"/>
  <c r="K56" i="23"/>
  <c r="K52" i="23"/>
  <c r="K46" i="23"/>
  <c r="K42" i="23"/>
  <c r="K38" i="23"/>
  <c r="K34" i="23"/>
  <c r="K30" i="23"/>
  <c r="K27" i="23"/>
  <c r="K14" i="23"/>
  <c r="K11" i="23"/>
  <c r="K123" i="23"/>
  <c r="K119" i="23"/>
  <c r="K114" i="23"/>
  <c r="K110" i="23"/>
  <c r="K101" i="23"/>
  <c r="K99" i="23"/>
  <c r="K96" i="23"/>
  <c r="K94" i="23"/>
  <c r="K91" i="23"/>
  <c r="K81" i="23"/>
  <c r="K77" i="23"/>
  <c r="K73" i="23"/>
  <c r="K69" i="23"/>
  <c r="K65" i="23"/>
  <c r="K61" i="23"/>
  <c r="K57" i="23"/>
  <c r="K53" i="23"/>
  <c r="K49" i="23"/>
  <c r="K45" i="23"/>
  <c r="K41" i="23"/>
  <c r="K37" i="23"/>
  <c r="K33" i="23"/>
  <c r="K28" i="23"/>
  <c r="K26" i="23"/>
  <c r="K23" i="23"/>
  <c r="K12" i="23"/>
  <c r="K10" i="23"/>
  <c r="K7" i="23"/>
  <c r="K88" i="23"/>
  <c r="K98" i="23"/>
  <c r="K84" i="23"/>
  <c r="K80" i="23"/>
  <c r="K74" i="23"/>
  <c r="K70" i="23"/>
  <c r="K66" i="23"/>
  <c r="K62" i="23"/>
  <c r="K58" i="23"/>
  <c r="K54" i="23"/>
  <c r="K50" i="23"/>
  <c r="K48" i="23"/>
  <c r="K44" i="23"/>
  <c r="K40" i="23"/>
  <c r="K36" i="23"/>
  <c r="K32" i="23"/>
  <c r="K16" i="23"/>
  <c r="K124" i="23"/>
  <c r="K122" i="23"/>
  <c r="K120" i="23"/>
  <c r="K115" i="23"/>
  <c r="K111" i="23"/>
  <c r="K106" i="23"/>
  <c r="K95" i="23"/>
  <c r="K92" i="23"/>
  <c r="K90" i="23"/>
  <c r="K87" i="23"/>
  <c r="K24" i="23"/>
  <c r="K22" i="23"/>
  <c r="K19" i="23"/>
  <c r="K8" i="23"/>
  <c r="K6" i="23"/>
  <c r="K5" i="23"/>
  <c r="B10" i="26"/>
  <c r="B39" i="26"/>
  <c r="B43" i="26"/>
  <c r="B44" i="26" l="1"/>
  <c r="B45" i="26"/>
  <c r="B46" i="26"/>
  <c r="B40" i="26"/>
  <c r="B41" i="26"/>
  <c r="B42" i="26"/>
  <c r="S11" i="23"/>
  <c r="S16" i="23"/>
  <c r="S19" i="23"/>
  <c r="S23" i="23"/>
  <c r="R26" i="23"/>
  <c r="S38" i="23"/>
  <c r="S40" i="23"/>
  <c r="S44" i="23"/>
  <c r="R48" i="23"/>
  <c r="R57" i="23"/>
  <c r="S61" i="23"/>
  <c r="R65" i="23"/>
  <c r="S69" i="23"/>
  <c r="R70" i="23"/>
  <c r="Q81" i="23"/>
  <c r="R83" i="23"/>
  <c r="S89" i="23"/>
  <c r="S95" i="23"/>
  <c r="Q105" i="23"/>
  <c r="R105" i="23"/>
  <c r="S105" i="23"/>
  <c r="R106" i="23"/>
  <c r="Q120" i="23"/>
  <c r="R122" i="23"/>
  <c r="M4" i="25"/>
  <c r="N4" i="25"/>
  <c r="O4" i="25"/>
  <c r="P4" i="25"/>
  <c r="Q4" i="25"/>
  <c r="S4" i="25"/>
  <c r="N6" i="23" s="1"/>
  <c r="M5" i="25"/>
  <c r="N5" i="25"/>
  <c r="O5" i="25"/>
  <c r="P5" i="25"/>
  <c r="Q5" i="25"/>
  <c r="S5" i="25"/>
  <c r="N7" i="23" s="1"/>
  <c r="M6" i="25"/>
  <c r="N6" i="25"/>
  <c r="O6" i="25"/>
  <c r="P6" i="25"/>
  <c r="Q6" i="25"/>
  <c r="S6" i="25"/>
  <c r="N8" i="23" s="1"/>
  <c r="M7" i="25"/>
  <c r="N7" i="25"/>
  <c r="O7" i="25"/>
  <c r="P7" i="25"/>
  <c r="Q7" i="25"/>
  <c r="S7" i="25"/>
  <c r="N9" i="23" s="1"/>
  <c r="M8" i="25"/>
  <c r="N8" i="25"/>
  <c r="O8" i="25"/>
  <c r="P8" i="25"/>
  <c r="Q8" i="25"/>
  <c r="S8" i="25"/>
  <c r="N10" i="23" s="1"/>
  <c r="M9" i="25"/>
  <c r="N9" i="25"/>
  <c r="O9" i="25"/>
  <c r="P9" i="25"/>
  <c r="Q9" i="25"/>
  <c r="S9" i="25"/>
  <c r="N11" i="23" s="1"/>
  <c r="M10" i="25"/>
  <c r="N10" i="25"/>
  <c r="O10" i="25"/>
  <c r="P10" i="25"/>
  <c r="Q10" i="25"/>
  <c r="S10" i="25"/>
  <c r="N12" i="23" s="1"/>
  <c r="M11" i="25"/>
  <c r="N11" i="25"/>
  <c r="O11" i="25"/>
  <c r="P11" i="25"/>
  <c r="Q11" i="25"/>
  <c r="S11" i="25"/>
  <c r="N13" i="23" s="1"/>
  <c r="M12" i="25"/>
  <c r="N12" i="25"/>
  <c r="O12" i="25"/>
  <c r="P12" i="25"/>
  <c r="Q12" i="25"/>
  <c r="S12" i="25"/>
  <c r="N14" i="23" s="1"/>
  <c r="M13" i="25"/>
  <c r="N13" i="25"/>
  <c r="O13" i="25"/>
  <c r="P13" i="25"/>
  <c r="Q13" i="25"/>
  <c r="S13" i="25"/>
  <c r="N15" i="23" s="1"/>
  <c r="M14" i="25"/>
  <c r="N14" i="25"/>
  <c r="O14" i="25"/>
  <c r="P14" i="25"/>
  <c r="Q14" i="25"/>
  <c r="S14" i="25"/>
  <c r="N16" i="23" s="1"/>
  <c r="M15" i="25"/>
  <c r="N15" i="25"/>
  <c r="O15" i="25"/>
  <c r="P15" i="25"/>
  <c r="Q15" i="25"/>
  <c r="S15" i="25"/>
  <c r="N17" i="23" s="1"/>
  <c r="M16" i="25"/>
  <c r="N16" i="25"/>
  <c r="O16" i="25"/>
  <c r="P16" i="25"/>
  <c r="Q16" i="25"/>
  <c r="S16" i="25"/>
  <c r="N18" i="23" s="1"/>
  <c r="M17" i="25"/>
  <c r="N17" i="25"/>
  <c r="O17" i="25"/>
  <c r="P17" i="25"/>
  <c r="Q17" i="25"/>
  <c r="S17" i="25"/>
  <c r="N19" i="23" s="1"/>
  <c r="M18" i="25"/>
  <c r="N18" i="25"/>
  <c r="O18" i="25"/>
  <c r="P18" i="25"/>
  <c r="Q18" i="25"/>
  <c r="S18" i="25"/>
  <c r="N20" i="23" s="1"/>
  <c r="M19" i="25"/>
  <c r="N19" i="25"/>
  <c r="O19" i="25"/>
  <c r="P19" i="25"/>
  <c r="Q19" i="25"/>
  <c r="S19" i="25"/>
  <c r="N21" i="23" s="1"/>
  <c r="M20" i="25"/>
  <c r="N20" i="25"/>
  <c r="O20" i="25"/>
  <c r="P20" i="25"/>
  <c r="Q20" i="25"/>
  <c r="S20" i="25"/>
  <c r="N22" i="23" s="1"/>
  <c r="M21" i="25"/>
  <c r="N21" i="25"/>
  <c r="O21" i="25"/>
  <c r="P21" i="25"/>
  <c r="Q21" i="25"/>
  <c r="S21" i="25"/>
  <c r="N23" i="23" s="1"/>
  <c r="M22" i="25"/>
  <c r="N22" i="25"/>
  <c r="O22" i="25"/>
  <c r="P22" i="25"/>
  <c r="Q22" i="25"/>
  <c r="S22" i="25"/>
  <c r="N24" i="23" s="1"/>
  <c r="M23" i="25"/>
  <c r="N23" i="25"/>
  <c r="O23" i="25"/>
  <c r="P23" i="25"/>
  <c r="Q23" i="25"/>
  <c r="S23" i="25"/>
  <c r="N25" i="23" s="1"/>
  <c r="M24" i="25"/>
  <c r="N24" i="25"/>
  <c r="O24" i="25"/>
  <c r="P24" i="25"/>
  <c r="Q24" i="25"/>
  <c r="S24" i="25"/>
  <c r="N26" i="23" s="1"/>
  <c r="M25" i="25"/>
  <c r="N25" i="25"/>
  <c r="O25" i="25"/>
  <c r="P25" i="25"/>
  <c r="Q25" i="25"/>
  <c r="S25" i="25"/>
  <c r="N27" i="23" s="1"/>
  <c r="M26" i="25"/>
  <c r="N26" i="25"/>
  <c r="O26" i="25"/>
  <c r="P26" i="25"/>
  <c r="Q26" i="25"/>
  <c r="S26" i="25"/>
  <c r="N28" i="23" s="1"/>
  <c r="M27" i="25"/>
  <c r="N27" i="25"/>
  <c r="O27" i="25"/>
  <c r="P27" i="25"/>
  <c r="Q27" i="25"/>
  <c r="S27" i="25"/>
  <c r="N29" i="23" s="1"/>
  <c r="M28" i="25"/>
  <c r="N28" i="25"/>
  <c r="O28" i="25"/>
  <c r="P28" i="25"/>
  <c r="Q28" i="25"/>
  <c r="S28" i="25"/>
  <c r="N30" i="23" s="1"/>
  <c r="M29" i="25"/>
  <c r="N29" i="25"/>
  <c r="O29" i="25"/>
  <c r="P29" i="25"/>
  <c r="Q29" i="25"/>
  <c r="S29" i="25"/>
  <c r="N31" i="23" s="1"/>
  <c r="M30" i="25"/>
  <c r="N30" i="25"/>
  <c r="O30" i="25"/>
  <c r="P30" i="25"/>
  <c r="Q30" i="25"/>
  <c r="S30" i="25"/>
  <c r="N32" i="23" s="1"/>
  <c r="M31" i="25"/>
  <c r="N31" i="25"/>
  <c r="O31" i="25"/>
  <c r="P31" i="25"/>
  <c r="Q31" i="25"/>
  <c r="S31" i="25"/>
  <c r="N33" i="23" s="1"/>
  <c r="M32" i="25"/>
  <c r="N32" i="25"/>
  <c r="O32" i="25"/>
  <c r="P32" i="25"/>
  <c r="Q32" i="25"/>
  <c r="S32" i="25"/>
  <c r="N34" i="23" s="1"/>
  <c r="M33" i="25"/>
  <c r="N33" i="25"/>
  <c r="O33" i="25"/>
  <c r="P33" i="25"/>
  <c r="Q33" i="25"/>
  <c r="S33" i="25"/>
  <c r="N35" i="23" s="1"/>
  <c r="M34" i="25"/>
  <c r="N34" i="25"/>
  <c r="O34" i="25"/>
  <c r="P34" i="25"/>
  <c r="Q34" i="25"/>
  <c r="S34" i="25"/>
  <c r="N36" i="23" s="1"/>
  <c r="M35" i="25"/>
  <c r="N35" i="25"/>
  <c r="O35" i="25"/>
  <c r="P35" i="25"/>
  <c r="Q35" i="25"/>
  <c r="S35" i="25"/>
  <c r="N37" i="23" s="1"/>
  <c r="M36" i="25"/>
  <c r="N36" i="25"/>
  <c r="O36" i="25"/>
  <c r="P36" i="25"/>
  <c r="Q36" i="25"/>
  <c r="S36" i="25"/>
  <c r="N38" i="23" s="1"/>
  <c r="M37" i="25"/>
  <c r="N37" i="25"/>
  <c r="O37" i="25"/>
  <c r="P37" i="25"/>
  <c r="Q37" i="25"/>
  <c r="S37" i="25"/>
  <c r="N39" i="23" s="1"/>
  <c r="M38" i="25"/>
  <c r="N38" i="25"/>
  <c r="O38" i="25"/>
  <c r="P38" i="25"/>
  <c r="Q38" i="25"/>
  <c r="S38" i="25"/>
  <c r="N40" i="23" s="1"/>
  <c r="M39" i="25"/>
  <c r="N39" i="25"/>
  <c r="O39" i="25"/>
  <c r="P39" i="25"/>
  <c r="Q39" i="25"/>
  <c r="S39" i="25"/>
  <c r="N41" i="23" s="1"/>
  <c r="M40" i="25"/>
  <c r="N40" i="25"/>
  <c r="O40" i="25"/>
  <c r="P40" i="25"/>
  <c r="Q40" i="25"/>
  <c r="S40" i="25"/>
  <c r="N69" i="23" s="1"/>
  <c r="M41" i="25"/>
  <c r="N41" i="25"/>
  <c r="O41" i="25"/>
  <c r="P41" i="25"/>
  <c r="Q41" i="25"/>
  <c r="S41" i="25"/>
  <c r="N42" i="23" s="1"/>
  <c r="M42" i="25"/>
  <c r="N42" i="25"/>
  <c r="O42" i="25"/>
  <c r="P42" i="25"/>
  <c r="Q42" i="25"/>
  <c r="S42" i="25"/>
  <c r="N43" i="23" s="1"/>
  <c r="M43" i="25"/>
  <c r="N43" i="25"/>
  <c r="O43" i="25"/>
  <c r="P43" i="25"/>
  <c r="Q43" i="25"/>
  <c r="S43" i="25"/>
  <c r="N44" i="23" s="1"/>
  <c r="M44" i="25"/>
  <c r="N44" i="25"/>
  <c r="O44" i="25"/>
  <c r="P44" i="25"/>
  <c r="Q44" i="25"/>
  <c r="S44" i="25"/>
  <c r="N45" i="23" s="1"/>
  <c r="M45" i="25"/>
  <c r="N45" i="25"/>
  <c r="O45" i="25"/>
  <c r="P45" i="25"/>
  <c r="Q45" i="25"/>
  <c r="S45" i="25"/>
  <c r="N46" i="23" s="1"/>
  <c r="M46" i="25"/>
  <c r="N46" i="25"/>
  <c r="O46" i="25"/>
  <c r="P46" i="25"/>
  <c r="Q46" i="25"/>
  <c r="S46" i="25"/>
  <c r="N47" i="23" s="1"/>
  <c r="M47" i="25"/>
  <c r="N47" i="25"/>
  <c r="O47" i="25"/>
  <c r="P47" i="25"/>
  <c r="Q47" i="25"/>
  <c r="S47" i="25"/>
  <c r="N48" i="23" s="1"/>
  <c r="M48" i="25"/>
  <c r="N48" i="25"/>
  <c r="O48" i="25"/>
  <c r="P48" i="25"/>
  <c r="Q48" i="25"/>
  <c r="S48" i="25"/>
  <c r="N49" i="23" s="1"/>
  <c r="M49" i="25"/>
  <c r="N49" i="25"/>
  <c r="O49" i="25"/>
  <c r="P49" i="25"/>
  <c r="Q49" i="25"/>
  <c r="S49" i="25"/>
  <c r="N50" i="23" s="1"/>
  <c r="M50" i="25"/>
  <c r="N50" i="25"/>
  <c r="O50" i="25"/>
  <c r="P50" i="25"/>
  <c r="Q50" i="25"/>
  <c r="S50" i="25"/>
  <c r="N51" i="23" s="1"/>
  <c r="M51" i="25"/>
  <c r="N51" i="25"/>
  <c r="O51" i="25"/>
  <c r="P51" i="25"/>
  <c r="Q51" i="25"/>
  <c r="S51" i="25"/>
  <c r="N52" i="23" s="1"/>
  <c r="M52" i="25"/>
  <c r="N52" i="25"/>
  <c r="O52" i="25"/>
  <c r="P52" i="25"/>
  <c r="Q52" i="25"/>
  <c r="S52" i="25"/>
  <c r="N53" i="23" s="1"/>
  <c r="M53" i="25"/>
  <c r="N53" i="25"/>
  <c r="O53" i="25"/>
  <c r="P53" i="25"/>
  <c r="Q53" i="25"/>
  <c r="S53" i="25"/>
  <c r="N54" i="23" s="1"/>
  <c r="M54" i="25"/>
  <c r="N54" i="25"/>
  <c r="O54" i="25"/>
  <c r="P54" i="25"/>
  <c r="Q54" i="25"/>
  <c r="S54" i="25"/>
  <c r="N55" i="23" s="1"/>
  <c r="M55" i="25"/>
  <c r="N55" i="25"/>
  <c r="O55" i="25"/>
  <c r="P55" i="25"/>
  <c r="Q55" i="25"/>
  <c r="S55" i="25"/>
  <c r="N57" i="23" s="1"/>
  <c r="M56" i="25"/>
  <c r="N56" i="25"/>
  <c r="O56" i="25"/>
  <c r="P56" i="25"/>
  <c r="Q56" i="25"/>
  <c r="S56" i="25"/>
  <c r="N58" i="23" s="1"/>
  <c r="M57" i="25"/>
  <c r="N57" i="25"/>
  <c r="O57" i="25"/>
  <c r="P57" i="25"/>
  <c r="Q57" i="25"/>
  <c r="S57" i="25"/>
  <c r="N59" i="23" s="1"/>
  <c r="M58" i="25"/>
  <c r="N58" i="25"/>
  <c r="O58" i="25"/>
  <c r="P58" i="25"/>
  <c r="Q58" i="25"/>
  <c r="S58" i="25"/>
  <c r="N60" i="23" s="1"/>
  <c r="M59" i="25"/>
  <c r="N59" i="25"/>
  <c r="O59" i="25"/>
  <c r="P59" i="25"/>
  <c r="Q59" i="25"/>
  <c r="S59" i="25"/>
  <c r="N61" i="23" s="1"/>
  <c r="M60" i="25"/>
  <c r="N60" i="25"/>
  <c r="O60" i="25"/>
  <c r="P60" i="25"/>
  <c r="Q60" i="25"/>
  <c r="S60" i="25"/>
  <c r="N62" i="23" s="1"/>
  <c r="M61" i="25"/>
  <c r="N61" i="25"/>
  <c r="O61" i="25"/>
  <c r="P61" i="25"/>
  <c r="Q61" i="25"/>
  <c r="S61" i="25"/>
  <c r="N63" i="23" s="1"/>
  <c r="M62" i="25"/>
  <c r="N62" i="25"/>
  <c r="O62" i="25"/>
  <c r="P62" i="25"/>
  <c r="Q62" i="25"/>
  <c r="S62" i="25"/>
  <c r="N64" i="23" s="1"/>
  <c r="M63" i="25"/>
  <c r="N63" i="25"/>
  <c r="O63" i="25"/>
  <c r="P63" i="25"/>
  <c r="Q63" i="25"/>
  <c r="S63" i="25"/>
  <c r="N65" i="23" s="1"/>
  <c r="M64" i="25"/>
  <c r="N64" i="25"/>
  <c r="O64" i="25"/>
  <c r="P64" i="25"/>
  <c r="Q64" i="25"/>
  <c r="S64" i="25"/>
  <c r="N66" i="23" s="1"/>
  <c r="M65" i="25"/>
  <c r="N65" i="25"/>
  <c r="O65" i="25"/>
  <c r="P65" i="25"/>
  <c r="Q65" i="25"/>
  <c r="S65" i="25"/>
  <c r="N67" i="23" s="1"/>
  <c r="M66" i="25"/>
  <c r="N66" i="25"/>
  <c r="O66" i="25"/>
  <c r="P66" i="25"/>
  <c r="Q66" i="25"/>
  <c r="S66" i="25"/>
  <c r="N68" i="23" s="1"/>
  <c r="M67" i="25"/>
  <c r="N67" i="25"/>
  <c r="O67" i="25"/>
  <c r="P67" i="25"/>
  <c r="Q67" i="25"/>
  <c r="S67" i="25"/>
  <c r="N70" i="23" s="1"/>
  <c r="M68" i="25"/>
  <c r="N68" i="25"/>
  <c r="O68" i="25"/>
  <c r="P68" i="25"/>
  <c r="Q68" i="25"/>
  <c r="S68" i="25"/>
  <c r="N71" i="23" s="1"/>
  <c r="M69" i="25"/>
  <c r="N69" i="25"/>
  <c r="O69" i="25"/>
  <c r="P69" i="25"/>
  <c r="Q69" i="25"/>
  <c r="S69" i="25"/>
  <c r="N72" i="23" s="1"/>
  <c r="M70" i="25"/>
  <c r="N70" i="25"/>
  <c r="O70" i="25"/>
  <c r="P70" i="25"/>
  <c r="Q70" i="25"/>
  <c r="S70" i="25"/>
  <c r="N73" i="23" s="1"/>
  <c r="M71" i="25"/>
  <c r="N71" i="25"/>
  <c r="O71" i="25"/>
  <c r="P71" i="25"/>
  <c r="Q71" i="25"/>
  <c r="S71" i="25"/>
  <c r="N74" i="23" s="1"/>
  <c r="M72" i="25"/>
  <c r="N72" i="25"/>
  <c r="O72" i="25"/>
  <c r="P72" i="25"/>
  <c r="Q72" i="25"/>
  <c r="S72" i="25"/>
  <c r="N75" i="23" s="1"/>
  <c r="M73" i="25"/>
  <c r="N73" i="25"/>
  <c r="O73" i="25"/>
  <c r="P73" i="25"/>
  <c r="Q73" i="25"/>
  <c r="S73" i="25"/>
  <c r="N76" i="23" s="1"/>
  <c r="M74" i="25"/>
  <c r="N74" i="25"/>
  <c r="O74" i="25"/>
  <c r="P74" i="25"/>
  <c r="Q74" i="25"/>
  <c r="S74" i="25"/>
  <c r="N77" i="23" s="1"/>
  <c r="M75" i="25"/>
  <c r="N75" i="25"/>
  <c r="O75" i="25"/>
  <c r="P75" i="25"/>
  <c r="Q75" i="25"/>
  <c r="S75" i="25"/>
  <c r="N78" i="23" s="1"/>
  <c r="M76" i="25"/>
  <c r="N76" i="25"/>
  <c r="O76" i="25"/>
  <c r="P76" i="25"/>
  <c r="Q76" i="25"/>
  <c r="S76" i="25"/>
  <c r="N79" i="23" s="1"/>
  <c r="M77" i="25"/>
  <c r="N77" i="25"/>
  <c r="O77" i="25"/>
  <c r="P77" i="25"/>
  <c r="Q77" i="25"/>
  <c r="S77" i="25"/>
  <c r="N80" i="23" s="1"/>
  <c r="M78" i="25"/>
  <c r="N78" i="25"/>
  <c r="O78" i="25"/>
  <c r="P78" i="25"/>
  <c r="Q78" i="25"/>
  <c r="S78" i="25"/>
  <c r="N81" i="23" s="1"/>
  <c r="M79" i="25"/>
  <c r="N79" i="25"/>
  <c r="O79" i="25"/>
  <c r="P79" i="25"/>
  <c r="Q79" i="25"/>
  <c r="S79" i="25"/>
  <c r="N82" i="23" s="1"/>
  <c r="M80" i="25"/>
  <c r="N80" i="25"/>
  <c r="O80" i="25"/>
  <c r="P80" i="25"/>
  <c r="Q80" i="25"/>
  <c r="S80" i="25"/>
  <c r="N83" i="23" s="1"/>
  <c r="M81" i="25"/>
  <c r="N81" i="25"/>
  <c r="O81" i="25"/>
  <c r="P81" i="25"/>
  <c r="Q81" i="25"/>
  <c r="S81" i="25"/>
  <c r="N84" i="23" s="1"/>
  <c r="M82" i="25"/>
  <c r="N82" i="25"/>
  <c r="O82" i="25"/>
  <c r="P82" i="25"/>
  <c r="Q82" i="25"/>
  <c r="S82" i="25"/>
  <c r="N85" i="23" s="1"/>
  <c r="M83" i="25"/>
  <c r="N83" i="25"/>
  <c r="O83" i="25"/>
  <c r="P83" i="25"/>
  <c r="Q83" i="25"/>
  <c r="S83" i="25"/>
  <c r="N86" i="23" s="1"/>
  <c r="M84" i="25"/>
  <c r="N84" i="25"/>
  <c r="O84" i="25"/>
  <c r="P84" i="25"/>
  <c r="Q84" i="25"/>
  <c r="S84" i="25"/>
  <c r="N87" i="23" s="1"/>
  <c r="M85" i="25"/>
  <c r="N85" i="25"/>
  <c r="O85" i="25"/>
  <c r="P85" i="25"/>
  <c r="Q85" i="25"/>
  <c r="N56" i="23"/>
  <c r="M86" i="25"/>
  <c r="N86" i="25"/>
  <c r="O86" i="25"/>
  <c r="P86" i="25"/>
  <c r="Q86" i="25"/>
  <c r="S86" i="25"/>
  <c r="N88" i="23" s="1"/>
  <c r="M87" i="25"/>
  <c r="N87" i="25"/>
  <c r="O87" i="25"/>
  <c r="P87" i="25"/>
  <c r="Q87" i="25"/>
  <c r="S87" i="25"/>
  <c r="N89" i="23" s="1"/>
  <c r="M88" i="25"/>
  <c r="N88" i="25"/>
  <c r="O88" i="25"/>
  <c r="P88" i="25"/>
  <c r="Q88" i="25"/>
  <c r="S88" i="25"/>
  <c r="N90" i="23" s="1"/>
  <c r="M89" i="25"/>
  <c r="N89" i="25"/>
  <c r="O89" i="25"/>
  <c r="P89" i="25"/>
  <c r="Q89" i="25"/>
  <c r="S89" i="25"/>
  <c r="N91" i="23" s="1"/>
  <c r="M90" i="25"/>
  <c r="N90" i="25"/>
  <c r="O90" i="25"/>
  <c r="P90" i="25"/>
  <c r="Q90" i="25"/>
  <c r="S90" i="25"/>
  <c r="N92" i="23" s="1"/>
  <c r="M91" i="25"/>
  <c r="N91" i="25"/>
  <c r="O91" i="25"/>
  <c r="P91" i="25"/>
  <c r="Q91" i="25"/>
  <c r="S91" i="25"/>
  <c r="N93" i="23" s="1"/>
  <c r="M92" i="25"/>
  <c r="N92" i="25"/>
  <c r="O92" i="25"/>
  <c r="P92" i="25"/>
  <c r="Q92" i="25"/>
  <c r="S92" i="25"/>
  <c r="N94" i="23" s="1"/>
  <c r="M93" i="25"/>
  <c r="N93" i="25"/>
  <c r="O93" i="25"/>
  <c r="P93" i="25"/>
  <c r="Q93" i="25"/>
  <c r="S93" i="25"/>
  <c r="N95" i="23" s="1"/>
  <c r="M94" i="25"/>
  <c r="N94" i="25"/>
  <c r="O94" i="25"/>
  <c r="P94" i="25"/>
  <c r="Q94" i="25"/>
  <c r="S94" i="25"/>
  <c r="N96" i="23" s="1"/>
  <c r="M95" i="25"/>
  <c r="N95" i="25"/>
  <c r="O95" i="25"/>
  <c r="P95" i="25"/>
  <c r="Q95" i="25"/>
  <c r="S95" i="25"/>
  <c r="N97" i="23" s="1"/>
  <c r="M96" i="25"/>
  <c r="N96" i="25"/>
  <c r="O96" i="25"/>
  <c r="P96" i="25"/>
  <c r="Q96" i="25"/>
  <c r="S96" i="25"/>
  <c r="N98" i="23" s="1"/>
  <c r="M97" i="25"/>
  <c r="N97" i="25"/>
  <c r="O97" i="25"/>
  <c r="P97" i="25"/>
  <c r="Q97" i="25"/>
  <c r="S97" i="25"/>
  <c r="N99" i="23" s="1"/>
  <c r="M98" i="25"/>
  <c r="N98" i="25"/>
  <c r="O98" i="25"/>
  <c r="P98" i="25"/>
  <c r="Q98" i="25"/>
  <c r="S98" i="25"/>
  <c r="N100" i="23" s="1"/>
  <c r="M99" i="25"/>
  <c r="N99" i="25"/>
  <c r="O99" i="25"/>
  <c r="P99" i="25"/>
  <c r="Q99" i="25"/>
  <c r="S99" i="25"/>
  <c r="N101" i="23" s="1"/>
  <c r="M100" i="25"/>
  <c r="N100" i="25"/>
  <c r="O100" i="25"/>
  <c r="P100" i="25"/>
  <c r="Q100" i="25"/>
  <c r="S100" i="25"/>
  <c r="N102" i="23" s="1"/>
  <c r="M101" i="25"/>
  <c r="N101" i="25"/>
  <c r="O101" i="25"/>
  <c r="P101" i="25"/>
  <c r="Q101" i="25"/>
  <c r="S101" i="25"/>
  <c r="N103" i="23" s="1"/>
  <c r="M102" i="25"/>
  <c r="N102" i="25"/>
  <c r="O102" i="25"/>
  <c r="P102" i="25"/>
  <c r="Q102" i="25"/>
  <c r="S102" i="25"/>
  <c r="N104" i="23" s="1"/>
  <c r="M104" i="25"/>
  <c r="N104" i="25"/>
  <c r="O104" i="25"/>
  <c r="P104" i="25"/>
  <c r="Q104" i="25"/>
  <c r="S104" i="25"/>
  <c r="N106" i="23" s="1"/>
  <c r="M105" i="25"/>
  <c r="N105" i="25"/>
  <c r="O105" i="25"/>
  <c r="P105" i="25"/>
  <c r="Q105" i="25"/>
  <c r="S105" i="25"/>
  <c r="N107" i="23" s="1"/>
  <c r="M106" i="25"/>
  <c r="N106" i="25"/>
  <c r="O106" i="25"/>
  <c r="P106" i="25"/>
  <c r="Q106" i="25"/>
  <c r="S106" i="25"/>
  <c r="N108" i="23" s="1"/>
  <c r="M107" i="25"/>
  <c r="N107" i="25"/>
  <c r="O107" i="25"/>
  <c r="P107" i="25"/>
  <c r="Q107" i="25"/>
  <c r="S107" i="25"/>
  <c r="N109" i="23" s="1"/>
  <c r="M108" i="25"/>
  <c r="N108" i="25"/>
  <c r="O108" i="25"/>
  <c r="P108" i="25"/>
  <c r="Q108" i="25"/>
  <c r="S108" i="25"/>
  <c r="N110" i="23" s="1"/>
  <c r="M109" i="25"/>
  <c r="N109" i="25"/>
  <c r="O109" i="25"/>
  <c r="P109" i="25"/>
  <c r="Q109" i="25"/>
  <c r="S109" i="25"/>
  <c r="N111" i="23" s="1"/>
  <c r="M110" i="25"/>
  <c r="N110" i="25"/>
  <c r="O110" i="25"/>
  <c r="P110" i="25"/>
  <c r="Q110" i="25"/>
  <c r="S110" i="25"/>
  <c r="N112" i="23" s="1"/>
  <c r="M111" i="25"/>
  <c r="N111" i="25"/>
  <c r="O111" i="25"/>
  <c r="P111" i="25"/>
  <c r="Q111" i="25"/>
  <c r="S111" i="25"/>
  <c r="N113" i="23" s="1"/>
  <c r="M112" i="25"/>
  <c r="N112" i="25"/>
  <c r="O112" i="25"/>
  <c r="P112" i="25"/>
  <c r="Q112" i="25"/>
  <c r="S112" i="25"/>
  <c r="N114" i="23" s="1"/>
  <c r="M113" i="25"/>
  <c r="N113" i="25"/>
  <c r="O113" i="25"/>
  <c r="P113" i="25"/>
  <c r="Q113" i="25"/>
  <c r="S113" i="25"/>
  <c r="N115" i="23" s="1"/>
  <c r="M114" i="25"/>
  <c r="N114" i="25"/>
  <c r="O114" i="25"/>
  <c r="P114" i="25"/>
  <c r="Q114" i="25"/>
  <c r="S114" i="25"/>
  <c r="N116" i="23" s="1"/>
  <c r="M115" i="25"/>
  <c r="N115" i="25"/>
  <c r="O115" i="25"/>
  <c r="P115" i="25"/>
  <c r="Q115" i="25"/>
  <c r="S115" i="25"/>
  <c r="N117" i="23" s="1"/>
  <c r="M116" i="25"/>
  <c r="N116" i="25"/>
  <c r="O116" i="25"/>
  <c r="P116" i="25"/>
  <c r="Q116" i="25"/>
  <c r="S116" i="25"/>
  <c r="N118" i="23" s="1"/>
  <c r="M117" i="25"/>
  <c r="N117" i="25"/>
  <c r="O117" i="25"/>
  <c r="P117" i="25"/>
  <c r="Q117" i="25"/>
  <c r="S117" i="25"/>
  <c r="N119" i="23" s="1"/>
  <c r="M118" i="25"/>
  <c r="N118" i="25"/>
  <c r="O118" i="25"/>
  <c r="P118" i="25"/>
  <c r="Q118" i="25"/>
  <c r="S118" i="25"/>
  <c r="N120" i="23" s="1"/>
  <c r="M119" i="25"/>
  <c r="N119" i="25"/>
  <c r="O119" i="25"/>
  <c r="P119" i="25"/>
  <c r="Q119" i="25"/>
  <c r="S119" i="25"/>
  <c r="N121" i="23" s="1"/>
  <c r="M120" i="25"/>
  <c r="N120" i="25"/>
  <c r="O120" i="25"/>
  <c r="P120" i="25"/>
  <c r="Q120" i="25"/>
  <c r="S120" i="25"/>
  <c r="N122" i="23" s="1"/>
  <c r="M121" i="25"/>
  <c r="N121" i="25"/>
  <c r="O121" i="25"/>
  <c r="P121" i="25"/>
  <c r="Q121" i="25"/>
  <c r="S121" i="25"/>
  <c r="N123" i="23" s="1"/>
  <c r="M122" i="25"/>
  <c r="N122" i="25"/>
  <c r="O122" i="25"/>
  <c r="P122" i="25"/>
  <c r="Q122" i="25"/>
  <c r="S122" i="25"/>
  <c r="N124" i="23" s="1"/>
  <c r="S3" i="25"/>
  <c r="N5" i="23" s="1"/>
  <c r="Q3" i="25"/>
  <c r="P3" i="25"/>
  <c r="O3" i="25"/>
  <c r="N3" i="25"/>
  <c r="M3" i="25"/>
  <c r="R34" i="25" l="1"/>
  <c r="M36" i="23" s="1"/>
  <c r="R31" i="25"/>
  <c r="M33" i="23" s="1"/>
  <c r="R27" i="25"/>
  <c r="M29" i="23" s="1"/>
  <c r="R19" i="25"/>
  <c r="M21" i="23" s="1"/>
  <c r="R15" i="25"/>
  <c r="M17" i="23" s="1"/>
  <c r="R74" i="25"/>
  <c r="M77" i="23" s="1"/>
  <c r="R119" i="25"/>
  <c r="M121" i="23" s="1"/>
  <c r="R69" i="25"/>
  <c r="M72" i="23" s="1"/>
  <c r="R68" i="25"/>
  <c r="M71" i="23" s="1"/>
  <c r="R65" i="25"/>
  <c r="M67" i="23" s="1"/>
  <c r="R64" i="25"/>
  <c r="M66" i="23" s="1"/>
  <c r="R60" i="25"/>
  <c r="M62" i="23" s="1"/>
  <c r="R56" i="25"/>
  <c r="M58" i="23" s="1"/>
  <c r="R52" i="25"/>
  <c r="M53" i="23" s="1"/>
  <c r="R48" i="25"/>
  <c r="M49" i="23" s="1"/>
  <c r="R44" i="25"/>
  <c r="M45" i="23" s="1"/>
  <c r="R41" i="25"/>
  <c r="M42" i="23" s="1"/>
  <c r="R40" i="25"/>
  <c r="M69" i="23" s="1"/>
  <c r="R36" i="25"/>
  <c r="M38" i="23" s="1"/>
  <c r="R111" i="25"/>
  <c r="M113" i="23" s="1"/>
  <c r="R107" i="25"/>
  <c r="M109" i="23" s="1"/>
  <c r="R78" i="25"/>
  <c r="M81" i="23" s="1"/>
  <c r="R75" i="25"/>
  <c r="M78" i="23" s="1"/>
  <c r="R95" i="25"/>
  <c r="M97" i="23" s="1"/>
  <c r="R91" i="25"/>
  <c r="M93" i="23" s="1"/>
  <c r="R87" i="25"/>
  <c r="M89" i="23" s="1"/>
  <c r="R83" i="25"/>
  <c r="M86" i="23" s="1"/>
  <c r="R79" i="25"/>
  <c r="M82" i="23" s="1"/>
  <c r="R70" i="25"/>
  <c r="M73" i="23" s="1"/>
  <c r="R85" i="25"/>
  <c r="M56" i="23" s="1"/>
  <c r="R84" i="25"/>
  <c r="M87" i="23" s="1"/>
  <c r="R81" i="25"/>
  <c r="M84" i="23" s="1"/>
  <c r="R80" i="25"/>
  <c r="M83" i="23" s="1"/>
  <c r="R66" i="25"/>
  <c r="M68" i="23" s="1"/>
  <c r="R62" i="25"/>
  <c r="M64" i="23" s="1"/>
  <c r="R58" i="25"/>
  <c r="M60" i="23" s="1"/>
  <c r="R54" i="25"/>
  <c r="M55" i="23" s="1"/>
  <c r="R50" i="25"/>
  <c r="M51" i="23" s="1"/>
  <c r="R46" i="25"/>
  <c r="M47" i="23" s="1"/>
  <c r="R42" i="25"/>
  <c r="M43" i="23" s="1"/>
  <c r="R38" i="25"/>
  <c r="M40" i="23" s="1"/>
  <c r="R33" i="25"/>
  <c r="M35" i="23" s="1"/>
  <c r="R32" i="25"/>
  <c r="M34" i="23" s="1"/>
  <c r="R29" i="25"/>
  <c r="M31" i="23" s="1"/>
  <c r="R28" i="25"/>
  <c r="M30" i="23" s="1"/>
  <c r="R25" i="25"/>
  <c r="M27" i="23" s="1"/>
  <c r="R24" i="25"/>
  <c r="M26" i="23" s="1"/>
  <c r="R21" i="25"/>
  <c r="M23" i="23" s="1"/>
  <c r="R17" i="25"/>
  <c r="M19" i="23" s="1"/>
  <c r="R16" i="25"/>
  <c r="M18" i="23" s="1"/>
  <c r="R13" i="25"/>
  <c r="M15" i="23" s="1"/>
  <c r="R12" i="25"/>
  <c r="M14" i="23" s="1"/>
  <c r="R9" i="25"/>
  <c r="M11" i="23" s="1"/>
  <c r="R8" i="25"/>
  <c r="M10" i="23" s="1"/>
  <c r="R5" i="25"/>
  <c r="M7" i="23" s="1"/>
  <c r="R4" i="25"/>
  <c r="M6" i="23" s="1"/>
  <c r="R76" i="25"/>
  <c r="M79" i="23" s="1"/>
  <c r="R61" i="25"/>
  <c r="M63" i="23" s="1"/>
  <c r="R57" i="25"/>
  <c r="M59" i="23" s="1"/>
  <c r="R53" i="25"/>
  <c r="M54" i="23" s="1"/>
  <c r="R49" i="25"/>
  <c r="M50" i="23" s="1"/>
  <c r="R45" i="25"/>
  <c r="M46" i="23" s="1"/>
  <c r="R37" i="25"/>
  <c r="M39" i="23" s="1"/>
  <c r="R121" i="25"/>
  <c r="M123" i="23" s="1"/>
  <c r="R120" i="25"/>
  <c r="M122" i="23" s="1"/>
  <c r="R117" i="25"/>
  <c r="M119" i="23" s="1"/>
  <c r="R116" i="25"/>
  <c r="M118" i="23" s="1"/>
  <c r="R113" i="25"/>
  <c r="M115" i="23" s="1"/>
  <c r="R112" i="25"/>
  <c r="M114" i="23" s="1"/>
  <c r="R109" i="25"/>
  <c r="M111" i="23" s="1"/>
  <c r="R108" i="25"/>
  <c r="M110" i="23" s="1"/>
  <c r="R105" i="25"/>
  <c r="M107" i="23" s="1"/>
  <c r="R104" i="25"/>
  <c r="M106" i="23" s="1"/>
  <c r="R101" i="25"/>
  <c r="M103" i="23" s="1"/>
  <c r="R100" i="25"/>
  <c r="M102" i="23" s="1"/>
  <c r="R97" i="25"/>
  <c r="M99" i="23" s="1"/>
  <c r="R96" i="25"/>
  <c r="M98" i="23" s="1"/>
  <c r="R93" i="25"/>
  <c r="M95" i="23" s="1"/>
  <c r="R92" i="25"/>
  <c r="M94" i="23" s="1"/>
  <c r="R89" i="25"/>
  <c r="M91" i="23" s="1"/>
  <c r="R88" i="25"/>
  <c r="M90" i="23" s="1"/>
  <c r="R122" i="25"/>
  <c r="M124" i="23" s="1"/>
  <c r="R118" i="25"/>
  <c r="M120" i="23" s="1"/>
  <c r="R114" i="25"/>
  <c r="M116" i="23" s="1"/>
  <c r="R110" i="25"/>
  <c r="M112" i="23" s="1"/>
  <c r="R106" i="25"/>
  <c r="M108" i="23" s="1"/>
  <c r="R102" i="25"/>
  <c r="M104" i="23" s="1"/>
  <c r="R98" i="25"/>
  <c r="M100" i="23" s="1"/>
  <c r="R94" i="25"/>
  <c r="M96" i="23" s="1"/>
  <c r="R90" i="25"/>
  <c r="M92" i="23" s="1"/>
  <c r="R86" i="25"/>
  <c r="M88" i="23" s="1"/>
  <c r="R82" i="25"/>
  <c r="M85" i="23" s="1"/>
  <c r="R77" i="25"/>
  <c r="M80" i="23" s="1"/>
  <c r="R71" i="25"/>
  <c r="M74" i="23" s="1"/>
  <c r="R30" i="25"/>
  <c r="M32" i="23" s="1"/>
  <c r="R26" i="25"/>
  <c r="M28" i="23" s="1"/>
  <c r="R22" i="25"/>
  <c r="M24" i="23" s="1"/>
  <c r="R18" i="25"/>
  <c r="M20" i="23" s="1"/>
  <c r="R14" i="25"/>
  <c r="M16" i="23" s="1"/>
  <c r="R10" i="25"/>
  <c r="M12" i="23" s="1"/>
  <c r="R6" i="25"/>
  <c r="M8" i="23" s="1"/>
  <c r="R115" i="25"/>
  <c r="M117" i="23" s="1"/>
  <c r="R99" i="25"/>
  <c r="M101" i="23" s="1"/>
  <c r="R73" i="25"/>
  <c r="M76" i="23" s="1"/>
  <c r="R72" i="25"/>
  <c r="M75" i="23" s="1"/>
  <c r="R67" i="25"/>
  <c r="M70" i="23" s="1"/>
  <c r="R63" i="25"/>
  <c r="M65" i="23" s="1"/>
  <c r="R59" i="25"/>
  <c r="M61" i="23" s="1"/>
  <c r="R55" i="25"/>
  <c r="M57" i="23" s="1"/>
  <c r="R51" i="25"/>
  <c r="M52" i="23" s="1"/>
  <c r="R47" i="25"/>
  <c r="M48" i="23" s="1"/>
  <c r="R43" i="25"/>
  <c r="M44" i="23" s="1"/>
  <c r="R39" i="25"/>
  <c r="M41" i="23" s="1"/>
  <c r="R35" i="25"/>
  <c r="M37" i="23" s="1"/>
  <c r="R23" i="25"/>
  <c r="M25" i="23" s="1"/>
  <c r="R20" i="25"/>
  <c r="M22" i="23" s="1"/>
  <c r="R11" i="25"/>
  <c r="M13" i="23" s="1"/>
  <c r="R7" i="25"/>
  <c r="M9" i="23" s="1"/>
  <c r="K103" i="25" l="1"/>
  <c r="S103" i="25" l="1"/>
  <c r="S123" i="25" s="1"/>
  <c r="L105" i="23"/>
  <c r="N105" i="23"/>
  <c r="F103" i="25"/>
  <c r="G103" i="25"/>
  <c r="H103" i="25"/>
  <c r="I103" i="25"/>
  <c r="K123" i="25"/>
  <c r="E103" i="25"/>
  <c r="F105" i="23" s="1"/>
  <c r="J101" i="25"/>
  <c r="J102" i="25"/>
  <c r="J104" i="25"/>
  <c r="J105" i="25"/>
  <c r="J106" i="25"/>
  <c r="J107" i="25"/>
  <c r="J108" i="25"/>
  <c r="J109" i="25"/>
  <c r="J110" i="25"/>
  <c r="J111" i="25"/>
  <c r="J112" i="25"/>
  <c r="J113" i="25"/>
  <c r="J114" i="25"/>
  <c r="J115" i="25"/>
  <c r="J116" i="25"/>
  <c r="J117" i="25"/>
  <c r="J118" i="25"/>
  <c r="J119" i="25"/>
  <c r="J120" i="25"/>
  <c r="J121" i="25"/>
  <c r="J122" i="25"/>
  <c r="J4" i="25"/>
  <c r="J5" i="25"/>
  <c r="J6" i="25"/>
  <c r="J7" i="25"/>
  <c r="J8" i="25"/>
  <c r="J9" i="25"/>
  <c r="J10" i="25"/>
  <c r="J11" i="25"/>
  <c r="J12" i="25"/>
  <c r="J13" i="25"/>
  <c r="J14" i="25"/>
  <c r="J15" i="25"/>
  <c r="J16" i="25"/>
  <c r="J17" i="25"/>
  <c r="J18" i="25"/>
  <c r="J19" i="25"/>
  <c r="J20" i="25"/>
  <c r="J21" i="25"/>
  <c r="J22" i="25"/>
  <c r="J23" i="25"/>
  <c r="J24" i="25"/>
  <c r="J25" i="25"/>
  <c r="J26" i="25"/>
  <c r="J27" i="25"/>
  <c r="J28" i="25"/>
  <c r="J29" i="25"/>
  <c r="J30" i="25"/>
  <c r="J31" i="25"/>
  <c r="J32" i="25"/>
  <c r="J33" i="25"/>
  <c r="J34" i="25"/>
  <c r="J35" i="25"/>
  <c r="J36" i="25"/>
  <c r="J37" i="25"/>
  <c r="J38" i="25"/>
  <c r="J39" i="25"/>
  <c r="J40" i="25"/>
  <c r="J41" i="25"/>
  <c r="J42" i="25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J66" i="25"/>
  <c r="J67" i="25"/>
  <c r="J68" i="25"/>
  <c r="J69" i="25"/>
  <c r="J70" i="25"/>
  <c r="J71" i="25"/>
  <c r="J72" i="25"/>
  <c r="J73" i="25"/>
  <c r="J74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3" i="25"/>
  <c r="P103" i="25" l="1"/>
  <c r="P123" i="25" s="1"/>
  <c r="I105" i="23"/>
  <c r="F125" i="23"/>
  <c r="O103" i="25"/>
  <c r="O123" i="25" s="1"/>
  <c r="H105" i="23"/>
  <c r="Q103" i="25"/>
  <c r="Q123" i="25" s="1"/>
  <c r="J105" i="23"/>
  <c r="N103" i="25"/>
  <c r="N123" i="25" s="1"/>
  <c r="G105" i="23"/>
  <c r="E123" i="25"/>
  <c r="M103" i="25"/>
  <c r="M123" i="25" s="1"/>
  <c r="F123" i="25"/>
  <c r="R3" i="25"/>
  <c r="M5" i="23" s="1"/>
  <c r="G123" i="25"/>
  <c r="I123" i="25"/>
  <c r="H123" i="25"/>
  <c r="J103" i="25"/>
  <c r="AA26" i="23"/>
  <c r="K105" i="23" l="1"/>
  <c r="R103" i="25"/>
  <c r="M105" i="23" s="1"/>
  <c r="M125" i="23" s="1"/>
  <c r="J123" i="25"/>
  <c r="J125" i="25" s="1"/>
  <c r="AA88" i="23"/>
  <c r="R123" i="25" l="1"/>
  <c r="S125" i="25" s="1"/>
  <c r="W26" i="23"/>
  <c r="W86" i="23" l="1"/>
  <c r="Z110" i="23"/>
  <c r="AB109" i="23"/>
  <c r="AB105" i="23"/>
  <c r="AA105" i="23"/>
  <c r="Z105" i="23"/>
  <c r="Y104" i="23"/>
  <c r="AI104" i="23" s="1"/>
  <c r="Y103" i="23"/>
  <c r="AI103" i="23" s="1"/>
  <c r="AA100" i="23"/>
  <c r="AA93" i="23"/>
  <c r="AI93" i="23" s="1"/>
  <c r="AB66" i="23"/>
  <c r="Y38" i="23"/>
  <c r="Z33" i="23"/>
  <c r="AI33" i="23" s="1"/>
  <c r="AB27" i="23"/>
  <c r="AA27" i="23"/>
  <c r="Z27" i="23"/>
  <c r="AB19" i="23"/>
  <c r="Z11" i="23"/>
  <c r="X122" i="23"/>
  <c r="X121" i="23"/>
  <c r="X105" i="23"/>
  <c r="X104" i="23"/>
  <c r="X96" i="23"/>
  <c r="X84" i="23"/>
  <c r="X75" i="23"/>
  <c r="X72" i="23"/>
  <c r="X65" i="23"/>
  <c r="X64" i="23"/>
  <c r="X44" i="23"/>
  <c r="X41" i="23"/>
  <c r="X27" i="23"/>
  <c r="X23" i="23"/>
  <c r="X22" i="23"/>
  <c r="X19" i="23"/>
  <c r="X16" i="23"/>
  <c r="AI16" i="23" s="1"/>
  <c r="X6" i="23"/>
  <c r="AI6" i="23" s="1"/>
  <c r="W105" i="23"/>
  <c r="W75" i="23"/>
  <c r="W19" i="23"/>
  <c r="S125" i="23"/>
  <c r="R125" i="23"/>
  <c r="AI57" i="23"/>
  <c r="AG125" i="23"/>
  <c r="AF125" i="23"/>
  <c r="AE125" i="23"/>
  <c r="AD125" i="23"/>
  <c r="AC125" i="23"/>
  <c r="AH124" i="23"/>
  <c r="AH123" i="23"/>
  <c r="AI123" i="23"/>
  <c r="AH122" i="23"/>
  <c r="AH120" i="23"/>
  <c r="AI119" i="23"/>
  <c r="AH119" i="23"/>
  <c r="AH118" i="23"/>
  <c r="AI117" i="23"/>
  <c r="AH117" i="23"/>
  <c r="AH116" i="23"/>
  <c r="AH115" i="23"/>
  <c r="AH114" i="23"/>
  <c r="AI113" i="23"/>
  <c r="AH113" i="23"/>
  <c r="AI112" i="23"/>
  <c r="AI111" i="23"/>
  <c r="AH111" i="23"/>
  <c r="AH110" i="23"/>
  <c r="AH109" i="23"/>
  <c r="AH108" i="23"/>
  <c r="AI107" i="23"/>
  <c r="A107" i="23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H106" i="23"/>
  <c r="AI106" i="23"/>
  <c r="V105" i="23"/>
  <c r="U105" i="23"/>
  <c r="U125" i="23" s="1"/>
  <c r="T105" i="23"/>
  <c r="Q125" i="23"/>
  <c r="N125" i="23"/>
  <c r="L125" i="23"/>
  <c r="J125" i="23"/>
  <c r="I125" i="23"/>
  <c r="H125" i="23"/>
  <c r="G125" i="23"/>
  <c r="AH104" i="23"/>
  <c r="AH103" i="23"/>
  <c r="AI102" i="23"/>
  <c r="AH102" i="23"/>
  <c r="AH101" i="23"/>
  <c r="AH100" i="23"/>
  <c r="AH99" i="23"/>
  <c r="AH98" i="23"/>
  <c r="AI98" i="23"/>
  <c r="AI97" i="23"/>
  <c r="AH97" i="23"/>
  <c r="AH96" i="23"/>
  <c r="AH95" i="23"/>
  <c r="AH94" i="23"/>
  <c r="AH93" i="23"/>
  <c r="AH92" i="23"/>
  <c r="AH91" i="23"/>
  <c r="AH90" i="23"/>
  <c r="AH89" i="23"/>
  <c r="AI88" i="23"/>
  <c r="AH88" i="23"/>
  <c r="AI87" i="23"/>
  <c r="AH87" i="23"/>
  <c r="AH86" i="23"/>
  <c r="AH85" i="23"/>
  <c r="AH84" i="23"/>
  <c r="AH83" i="23"/>
  <c r="AI83" i="23"/>
  <c r="AI82" i="23"/>
  <c r="AH82" i="23"/>
  <c r="AI81" i="23"/>
  <c r="AH81" i="23"/>
  <c r="AH80" i="23"/>
  <c r="AH79" i="23"/>
  <c r="AH78" i="23"/>
  <c r="AI77" i="23"/>
  <c r="AH77" i="23"/>
  <c r="AI76" i="23"/>
  <c r="AH76" i="23"/>
  <c r="AH75" i="23"/>
  <c r="AI74" i="23"/>
  <c r="AH74" i="23"/>
  <c r="AI73" i="23"/>
  <c r="AH73" i="23"/>
  <c r="AH72" i="23"/>
  <c r="V72" i="23"/>
  <c r="AI71" i="23"/>
  <c r="AH71" i="23"/>
  <c r="AH70" i="23"/>
  <c r="AH69" i="23"/>
  <c r="V69" i="23"/>
  <c r="AI68" i="23"/>
  <c r="AH68" i="23"/>
  <c r="AI67" i="23"/>
  <c r="AH67" i="23"/>
  <c r="AH66" i="23"/>
  <c r="AH65" i="23"/>
  <c r="V65" i="23"/>
  <c r="AH64" i="23"/>
  <c r="AH63" i="23"/>
  <c r="V63" i="23"/>
  <c r="AI63" i="23" s="1"/>
  <c r="AH62" i="23"/>
  <c r="AH61" i="23"/>
  <c r="AH60" i="23"/>
  <c r="AI59" i="23"/>
  <c r="AH59" i="23"/>
  <c r="AI58" i="23"/>
  <c r="AH58" i="23"/>
  <c r="AH57" i="23"/>
  <c r="AH56" i="23"/>
  <c r="AI55" i="23"/>
  <c r="AH55" i="23"/>
  <c r="AI54" i="23"/>
  <c r="AH54" i="23"/>
  <c r="AI53" i="23"/>
  <c r="AH53" i="23"/>
  <c r="AH52" i="23"/>
  <c r="AI52" i="23"/>
  <c r="AH51" i="23"/>
  <c r="AI51" i="23"/>
  <c r="AI50" i="23"/>
  <c r="AH50" i="23"/>
  <c r="AH48" i="23"/>
  <c r="AI48" i="23"/>
  <c r="AH47" i="23"/>
  <c r="AI46" i="23"/>
  <c r="AH46" i="23"/>
  <c r="AH45" i="23"/>
  <c r="AH44" i="23"/>
  <c r="AI43" i="23"/>
  <c r="AH43" i="23"/>
  <c r="AI42" i="23"/>
  <c r="AH42" i="23"/>
  <c r="AH41" i="23"/>
  <c r="V41" i="23"/>
  <c r="AI40" i="23"/>
  <c r="AH40" i="23"/>
  <c r="AI39" i="23"/>
  <c r="AH39" i="23"/>
  <c r="AH38" i="23"/>
  <c r="V38" i="23"/>
  <c r="AI37" i="23"/>
  <c r="AH37" i="23"/>
  <c r="AI36" i="23"/>
  <c r="AH36" i="23"/>
  <c r="AH35" i="23"/>
  <c r="AH34" i="23"/>
  <c r="V34" i="23"/>
  <c r="AI34" i="23" s="1"/>
  <c r="AI32" i="23"/>
  <c r="AH32" i="23"/>
  <c r="AI31" i="23"/>
  <c r="AH31" i="23"/>
  <c r="AI30" i="23"/>
  <c r="AH30" i="23"/>
  <c r="AI29" i="23"/>
  <c r="AH29" i="23"/>
  <c r="AI28" i="23"/>
  <c r="AH28" i="23"/>
  <c r="AH27" i="23"/>
  <c r="AH26" i="23"/>
  <c r="AH25" i="23"/>
  <c r="AI24" i="23"/>
  <c r="AH24" i="23"/>
  <c r="AH23" i="23"/>
  <c r="V23" i="23"/>
  <c r="AH22" i="23"/>
  <c r="AI22" i="23"/>
  <c r="AI21" i="23"/>
  <c r="AH21" i="23"/>
  <c r="AI20" i="23"/>
  <c r="AH20" i="23"/>
  <c r="AH19" i="23"/>
  <c r="V19" i="23"/>
  <c r="AI18" i="23"/>
  <c r="AH18" i="23"/>
  <c r="AI17" i="23"/>
  <c r="AH17" i="23"/>
  <c r="AH16" i="23"/>
  <c r="V16" i="23"/>
  <c r="AH15" i="23"/>
  <c r="AI15" i="23"/>
  <c r="AH14" i="23"/>
  <c r="AI13" i="23"/>
  <c r="AH13" i="23"/>
  <c r="AI12" i="23"/>
  <c r="AH12" i="23"/>
  <c r="AH11" i="23"/>
  <c r="V11" i="23"/>
  <c r="AI10" i="23"/>
  <c r="AH10" i="23"/>
  <c r="AI9" i="23"/>
  <c r="AH9" i="23"/>
  <c r="AI8" i="23"/>
  <c r="AH8" i="23"/>
  <c r="AI7" i="23"/>
  <c r="AH7" i="23"/>
  <c r="AH6" i="23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H5" i="23"/>
  <c r="AB125" i="23" l="1"/>
  <c r="W125" i="23"/>
  <c r="X125" i="23"/>
  <c r="AA125" i="23"/>
  <c r="Z125" i="23"/>
  <c r="AJ88" i="23"/>
  <c r="AJ71" i="23"/>
  <c r="AJ39" i="23"/>
  <c r="AJ50" i="23"/>
  <c r="AJ29" i="23"/>
  <c r="AJ102" i="23"/>
  <c r="AJ48" i="23"/>
  <c r="AJ57" i="23"/>
  <c r="AJ103" i="23"/>
  <c r="AJ10" i="23"/>
  <c r="Y105" i="23"/>
  <c r="Y125" i="23" s="1"/>
  <c r="AJ24" i="23"/>
  <c r="AJ68" i="23"/>
  <c r="AI75" i="23"/>
  <c r="AJ75" i="23" s="1"/>
  <c r="AI95" i="23"/>
  <c r="AJ95" i="23" s="1"/>
  <c r="AJ7" i="23"/>
  <c r="AJ12" i="23"/>
  <c r="AJ21" i="23"/>
  <c r="AJ9" i="23"/>
  <c r="AJ17" i="23"/>
  <c r="AJ31" i="23"/>
  <c r="AJ82" i="23"/>
  <c r="AJ83" i="23"/>
  <c r="AJ97" i="23"/>
  <c r="AJ98" i="23"/>
  <c r="AJ8" i="23"/>
  <c r="AJ42" i="23"/>
  <c r="AJ74" i="23"/>
  <c r="AJ77" i="23"/>
  <c r="AJ81" i="23"/>
  <c r="AJ113" i="23"/>
  <c r="AJ13" i="23"/>
  <c r="AI19" i="23"/>
  <c r="AJ19" i="23" s="1"/>
  <c r="AJ53" i="23"/>
  <c r="AI99" i="23"/>
  <c r="AJ99" i="23" s="1"/>
  <c r="K125" i="23"/>
  <c r="AJ117" i="23"/>
  <c r="AJ22" i="23"/>
  <c r="AI23" i="23"/>
  <c r="AJ23" i="23" s="1"/>
  <c r="AJ34" i="23"/>
  <c r="AI35" i="23"/>
  <c r="AJ35" i="23" s="1"/>
  <c r="AI44" i="23"/>
  <c r="AJ44" i="23" s="1"/>
  <c r="AJ67" i="23"/>
  <c r="AI80" i="23"/>
  <c r="AJ80" i="23" s="1"/>
  <c r="AI84" i="23"/>
  <c r="AJ84" i="23" s="1"/>
  <c r="AI92" i="23"/>
  <c r="AJ92" i="23" s="1"/>
  <c r="AJ106" i="23"/>
  <c r="V125" i="23"/>
  <c r="AI14" i="23"/>
  <c r="AJ14" i="23" s="1"/>
  <c r="AJ36" i="23"/>
  <c r="AJ40" i="23"/>
  <c r="AJ46" i="23"/>
  <c r="AJ55" i="23"/>
  <c r="AI72" i="23"/>
  <c r="AJ72" i="23" s="1"/>
  <c r="AI79" i="23"/>
  <c r="AJ79" i="23" s="1"/>
  <c r="AI85" i="23"/>
  <c r="AJ85" i="23" s="1"/>
  <c r="AJ93" i="23"/>
  <c r="P125" i="23"/>
  <c r="AJ111" i="23"/>
  <c r="AI116" i="23"/>
  <c r="AJ116" i="23" s="1"/>
  <c r="AJ119" i="23"/>
  <c r="AJ16" i="23"/>
  <c r="AJ51" i="23"/>
  <c r="AI25" i="23"/>
  <c r="AI38" i="23"/>
  <c r="AI41" i="23"/>
  <c r="AI64" i="23"/>
  <c r="AI70" i="23"/>
  <c r="T125" i="23"/>
  <c r="AI110" i="23"/>
  <c r="AJ110" i="23" s="1"/>
  <c r="AI124" i="23"/>
  <c r="AJ6" i="23"/>
  <c r="AJ15" i="23"/>
  <c r="AJ18" i="23"/>
  <c r="AJ28" i="23"/>
  <c r="AJ32" i="23"/>
  <c r="AJ43" i="23"/>
  <c r="AJ52" i="23"/>
  <c r="AI69" i="23"/>
  <c r="AJ69" i="23" s="1"/>
  <c r="AJ73" i="23"/>
  <c r="AJ76" i="23"/>
  <c r="AH105" i="23"/>
  <c r="AI109" i="23"/>
  <c r="AJ109" i="23" s="1"/>
  <c r="AI122" i="23"/>
  <c r="AI26" i="23"/>
  <c r="AI11" i="23"/>
  <c r="AI47" i="23"/>
  <c r="AI49" i="23"/>
  <c r="AI65" i="23"/>
  <c r="AI5" i="23"/>
  <c r="AJ20" i="23"/>
  <c r="AJ30" i="23"/>
  <c r="AJ37" i="23"/>
  <c r="AI45" i="23"/>
  <c r="AI60" i="23"/>
  <c r="AI61" i="23"/>
  <c r="AJ63" i="23"/>
  <c r="AJ87" i="23"/>
  <c r="AI96" i="23"/>
  <c r="AH107" i="23"/>
  <c r="AJ107" i="23" s="1"/>
  <c r="AI114" i="23"/>
  <c r="AJ123" i="23"/>
  <c r="AH49" i="23"/>
  <c r="AI56" i="23"/>
  <c r="AJ58" i="23"/>
  <c r="AI94" i="23"/>
  <c r="AI101" i="23"/>
  <c r="AI108" i="23"/>
  <c r="AH121" i="23"/>
  <c r="AI27" i="23"/>
  <c r="AH33" i="23"/>
  <c r="AJ33" i="23" s="1"/>
  <c r="AJ54" i="23"/>
  <c r="AJ59" i="23"/>
  <c r="AI90" i="23"/>
  <c r="AJ90" i="23" s="1"/>
  <c r="AI91" i="23"/>
  <c r="AJ104" i="23"/>
  <c r="O125" i="23"/>
  <c r="AH112" i="23"/>
  <c r="AJ112" i="23" s="1"/>
  <c r="AI118" i="23"/>
  <c r="AI66" i="23"/>
  <c r="AJ66" i="23" s="1"/>
  <c r="AI89" i="23"/>
  <c r="AJ89" i="23" s="1"/>
  <c r="AI100" i="23"/>
  <c r="AI120" i="23"/>
  <c r="AI62" i="23"/>
  <c r="AI78" i="23"/>
  <c r="AI86" i="23"/>
  <c r="AI115" i="23"/>
  <c r="AI121" i="23"/>
  <c r="AI105" i="23" l="1"/>
  <c r="AJ105" i="23" s="1"/>
  <c r="AJ49" i="23"/>
  <c r="AJ86" i="23"/>
  <c r="AJ101" i="23"/>
  <c r="AJ47" i="23"/>
  <c r="AJ124" i="23"/>
  <c r="AJ70" i="23"/>
  <c r="AJ45" i="23"/>
  <c r="AJ108" i="23"/>
  <c r="AJ122" i="23"/>
  <c r="AJ62" i="23"/>
  <c r="AJ91" i="23"/>
  <c r="AJ121" i="23"/>
  <c r="AJ100" i="23"/>
  <c r="AJ118" i="23"/>
  <c r="AJ41" i="23"/>
  <c r="AJ26" i="23"/>
  <c r="AJ64" i="23"/>
  <c r="AJ38" i="23"/>
  <c r="AJ114" i="23"/>
  <c r="AJ5" i="23"/>
  <c r="AJ78" i="23"/>
  <c r="AJ27" i="23"/>
  <c r="AJ25" i="23"/>
  <c r="AJ65" i="23"/>
  <c r="AJ115" i="23"/>
  <c r="AJ94" i="23"/>
  <c r="AJ56" i="23"/>
  <c r="AJ96" i="23"/>
  <c r="AJ61" i="23"/>
  <c r="AJ120" i="23"/>
  <c r="AH125" i="23"/>
  <c r="AJ60" i="23"/>
  <c r="AJ11" i="23"/>
  <c r="AI125" i="23" l="1"/>
  <c r="AJ125" i="23"/>
  <c r="AK128" i="2"/>
  <c r="AK127" i="2"/>
  <c r="AK126" i="2"/>
  <c r="AK125" i="2"/>
  <c r="X125" i="2"/>
  <c r="Y124" i="2"/>
  <c r="W124" i="2"/>
  <c r="W126" i="2" s="1"/>
  <c r="V124" i="2"/>
  <c r="V126" i="2" s="1"/>
  <c r="U124" i="2"/>
  <c r="U126" i="2" s="1"/>
  <c r="T124" i="2"/>
  <c r="T126" i="2" s="1"/>
  <c r="S124" i="2"/>
  <c r="S126" i="2" s="1"/>
  <c r="R124" i="2"/>
  <c r="P124" i="2"/>
  <c r="O124" i="2"/>
  <c r="N124" i="2"/>
  <c r="M124" i="2"/>
  <c r="L124" i="2"/>
  <c r="K124" i="2"/>
  <c r="I124" i="2"/>
  <c r="H124" i="2"/>
  <c r="G124" i="2"/>
  <c r="F124" i="2"/>
  <c r="E124" i="2"/>
  <c r="AF123" i="2"/>
  <c r="AH123" i="2" s="1"/>
  <c r="AM123" i="2" s="1"/>
  <c r="AD123" i="2"/>
  <c r="AC123" i="2"/>
  <c r="AB123" i="2"/>
  <c r="AA123" i="2"/>
  <c r="Z123" i="2"/>
  <c r="X123" i="2"/>
  <c r="Q123" i="2"/>
  <c r="J123" i="2"/>
  <c r="AF122" i="2"/>
  <c r="AH122" i="2" s="1"/>
  <c r="AM122" i="2" s="1"/>
  <c r="AD122" i="2"/>
  <c r="AC122" i="2"/>
  <c r="AB122" i="2"/>
  <c r="AA122" i="2"/>
  <c r="Z122" i="2"/>
  <c r="AE122" i="2" s="1"/>
  <c r="AG122" i="2" s="1"/>
  <c r="AL122" i="2" s="1"/>
  <c r="X122" i="2"/>
  <c r="Q122" i="2"/>
  <c r="J122" i="2"/>
  <c r="AF121" i="2"/>
  <c r="AH121" i="2" s="1"/>
  <c r="AM121" i="2" s="1"/>
  <c r="AD121" i="2"/>
  <c r="AC121" i="2"/>
  <c r="AB121" i="2"/>
  <c r="AA121" i="2"/>
  <c r="Z121" i="2"/>
  <c r="X121" i="2"/>
  <c r="Q121" i="2"/>
  <c r="J121" i="2"/>
  <c r="AF120" i="2"/>
  <c r="AH120" i="2" s="1"/>
  <c r="AM120" i="2" s="1"/>
  <c r="AD120" i="2"/>
  <c r="AC120" i="2"/>
  <c r="AB120" i="2"/>
  <c r="AA120" i="2"/>
  <c r="Z120" i="2"/>
  <c r="X120" i="2"/>
  <c r="Q120" i="2"/>
  <c r="J120" i="2"/>
  <c r="AF119" i="2"/>
  <c r="AH119" i="2" s="1"/>
  <c r="AM119" i="2" s="1"/>
  <c r="AD119" i="2"/>
  <c r="AC119" i="2"/>
  <c r="AB119" i="2"/>
  <c r="AA119" i="2"/>
  <c r="Z119" i="2"/>
  <c r="X119" i="2"/>
  <c r="Q119" i="2"/>
  <c r="J119" i="2"/>
  <c r="AF118" i="2"/>
  <c r="AH118" i="2" s="1"/>
  <c r="AM118" i="2" s="1"/>
  <c r="AD118" i="2"/>
  <c r="AC118" i="2"/>
  <c r="AB118" i="2"/>
  <c r="AA118" i="2"/>
  <c r="Z118" i="2"/>
  <c r="AE118" i="2" s="1"/>
  <c r="AG118" i="2" s="1"/>
  <c r="X118" i="2"/>
  <c r="Q118" i="2"/>
  <c r="J118" i="2"/>
  <c r="AF117" i="2"/>
  <c r="AH117" i="2" s="1"/>
  <c r="AM117" i="2" s="1"/>
  <c r="AD117" i="2"/>
  <c r="AC117" i="2"/>
  <c r="AB117" i="2"/>
  <c r="AA117" i="2"/>
  <c r="Z117" i="2"/>
  <c r="X117" i="2"/>
  <c r="Q117" i="2"/>
  <c r="J117" i="2"/>
  <c r="AF116" i="2"/>
  <c r="AH116" i="2" s="1"/>
  <c r="AM116" i="2" s="1"/>
  <c r="AD116" i="2"/>
  <c r="AC116" i="2"/>
  <c r="AB116" i="2"/>
  <c r="AA116" i="2"/>
  <c r="Z116" i="2"/>
  <c r="X116" i="2"/>
  <c r="Q116" i="2"/>
  <c r="J116" i="2"/>
  <c r="AF115" i="2"/>
  <c r="AH115" i="2" s="1"/>
  <c r="AM115" i="2" s="1"/>
  <c r="AD115" i="2"/>
  <c r="AC115" i="2"/>
  <c r="AB115" i="2"/>
  <c r="AA115" i="2"/>
  <c r="Z115" i="2"/>
  <c r="X115" i="2"/>
  <c r="Q115" i="2"/>
  <c r="J115" i="2"/>
  <c r="AF114" i="2"/>
  <c r="AH114" i="2" s="1"/>
  <c r="AM114" i="2" s="1"/>
  <c r="AD114" i="2"/>
  <c r="AC114" i="2"/>
  <c r="AB114" i="2"/>
  <c r="AA114" i="2"/>
  <c r="Z114" i="2"/>
  <c r="AE114" i="2" s="1"/>
  <c r="AG114" i="2" s="1"/>
  <c r="AL114" i="2" s="1"/>
  <c r="X114" i="2"/>
  <c r="Q114" i="2"/>
  <c r="J114" i="2"/>
  <c r="AF113" i="2"/>
  <c r="AH113" i="2" s="1"/>
  <c r="AM113" i="2" s="1"/>
  <c r="AD113" i="2"/>
  <c r="AC113" i="2"/>
  <c r="AB113" i="2"/>
  <c r="AA113" i="2"/>
  <c r="Z113" i="2"/>
  <c r="X113" i="2"/>
  <c r="Q113" i="2"/>
  <c r="J113" i="2"/>
  <c r="AF112" i="2"/>
  <c r="AH112" i="2" s="1"/>
  <c r="AM112" i="2" s="1"/>
  <c r="AD112" i="2"/>
  <c r="AC112" i="2"/>
  <c r="AB112" i="2"/>
  <c r="AA112" i="2"/>
  <c r="Z112" i="2"/>
  <c r="X112" i="2"/>
  <c r="Q112" i="2"/>
  <c r="J112" i="2"/>
  <c r="AF111" i="2"/>
  <c r="AH111" i="2" s="1"/>
  <c r="AM111" i="2" s="1"/>
  <c r="AD111" i="2"/>
  <c r="AC111" i="2"/>
  <c r="AB111" i="2"/>
  <c r="AA111" i="2"/>
  <c r="Z111" i="2"/>
  <c r="X111" i="2"/>
  <c r="Q111" i="2"/>
  <c r="J111" i="2"/>
  <c r="AF110" i="2"/>
  <c r="AH110" i="2" s="1"/>
  <c r="AM110" i="2" s="1"/>
  <c r="AD110" i="2"/>
  <c r="AC110" i="2"/>
  <c r="AB110" i="2"/>
  <c r="AA110" i="2"/>
  <c r="Z110" i="2"/>
  <c r="AE110" i="2" s="1"/>
  <c r="AG110" i="2" s="1"/>
  <c r="X110" i="2"/>
  <c r="Q110" i="2"/>
  <c r="J110" i="2"/>
  <c r="AF109" i="2"/>
  <c r="AH109" i="2" s="1"/>
  <c r="AM109" i="2" s="1"/>
  <c r="AD109" i="2"/>
  <c r="AC109" i="2"/>
  <c r="AB109" i="2"/>
  <c r="AA109" i="2"/>
  <c r="Z109" i="2"/>
  <c r="X109" i="2"/>
  <c r="Q109" i="2"/>
  <c r="J109" i="2"/>
  <c r="AF108" i="2"/>
  <c r="AH108" i="2" s="1"/>
  <c r="AM108" i="2" s="1"/>
  <c r="AD108" i="2"/>
  <c r="AC108" i="2"/>
  <c r="AB108" i="2"/>
  <c r="AA108" i="2"/>
  <c r="Z108" i="2"/>
  <c r="X108" i="2"/>
  <c r="Q108" i="2"/>
  <c r="J108" i="2"/>
  <c r="AF107" i="2"/>
  <c r="AH107" i="2" s="1"/>
  <c r="AM107" i="2" s="1"/>
  <c r="AD107" i="2"/>
  <c r="AC107" i="2"/>
  <c r="AB107" i="2"/>
  <c r="AA107" i="2"/>
  <c r="Z107" i="2"/>
  <c r="X107" i="2"/>
  <c r="Q107" i="2"/>
  <c r="J107" i="2"/>
  <c r="AF106" i="2"/>
  <c r="AH106" i="2" s="1"/>
  <c r="AM106" i="2" s="1"/>
  <c r="AD106" i="2"/>
  <c r="AC106" i="2"/>
  <c r="AB106" i="2"/>
  <c r="AA106" i="2"/>
  <c r="Z106" i="2"/>
  <c r="AE106" i="2" s="1"/>
  <c r="AG106" i="2" s="1"/>
  <c r="AL106" i="2" s="1"/>
  <c r="X106" i="2"/>
  <c r="Q106" i="2"/>
  <c r="J106" i="2"/>
  <c r="AF105" i="2"/>
  <c r="AH105" i="2" s="1"/>
  <c r="AM105" i="2" s="1"/>
  <c r="AD105" i="2"/>
  <c r="AC105" i="2"/>
  <c r="AB105" i="2"/>
  <c r="AA105" i="2"/>
  <c r="Z105" i="2"/>
  <c r="X105" i="2"/>
  <c r="Q105" i="2"/>
  <c r="J105" i="2"/>
  <c r="AF104" i="2"/>
  <c r="AH104" i="2" s="1"/>
  <c r="AM104" i="2" s="1"/>
  <c r="AD104" i="2"/>
  <c r="AC104" i="2"/>
  <c r="AB104" i="2"/>
  <c r="AA104" i="2"/>
  <c r="Z104" i="2"/>
  <c r="AE104" i="2" s="1"/>
  <c r="AG104" i="2" s="1"/>
  <c r="X104" i="2"/>
  <c r="Q104" i="2"/>
  <c r="J104" i="2"/>
  <c r="AF103" i="2"/>
  <c r="AH103" i="2" s="1"/>
  <c r="AM103" i="2" s="1"/>
  <c r="AD103" i="2"/>
  <c r="AC103" i="2"/>
  <c r="AB103" i="2"/>
  <c r="AA103" i="2"/>
  <c r="Z103" i="2"/>
  <c r="X103" i="2"/>
  <c r="Q103" i="2"/>
  <c r="J103" i="2"/>
  <c r="AF102" i="2"/>
  <c r="AH102" i="2" s="1"/>
  <c r="AM102" i="2" s="1"/>
  <c r="AD102" i="2"/>
  <c r="AC102" i="2"/>
  <c r="AB102" i="2"/>
  <c r="AA102" i="2"/>
  <c r="Z102" i="2"/>
  <c r="AE102" i="2" s="1"/>
  <c r="AG102" i="2" s="1"/>
  <c r="AL102" i="2" s="1"/>
  <c r="X102" i="2"/>
  <c r="Q102" i="2"/>
  <c r="J102" i="2"/>
  <c r="AF101" i="2"/>
  <c r="AH101" i="2" s="1"/>
  <c r="AM101" i="2" s="1"/>
  <c r="AD101" i="2"/>
  <c r="AC101" i="2"/>
  <c r="AB101" i="2"/>
  <c r="AA101" i="2"/>
  <c r="Z101" i="2"/>
  <c r="X101" i="2"/>
  <c r="Q101" i="2"/>
  <c r="J101" i="2"/>
  <c r="AF100" i="2"/>
  <c r="AH100" i="2" s="1"/>
  <c r="AM100" i="2" s="1"/>
  <c r="AD100" i="2"/>
  <c r="AC100" i="2"/>
  <c r="AB100" i="2"/>
  <c r="AA100" i="2"/>
  <c r="Z100" i="2"/>
  <c r="X100" i="2"/>
  <c r="Q100" i="2"/>
  <c r="J100" i="2"/>
  <c r="AF99" i="2"/>
  <c r="AH99" i="2" s="1"/>
  <c r="AM99" i="2" s="1"/>
  <c r="AD99" i="2"/>
  <c r="AC99" i="2"/>
  <c r="AB99" i="2"/>
  <c r="AA99" i="2"/>
  <c r="Z99" i="2"/>
  <c r="AE99" i="2" s="1"/>
  <c r="AG99" i="2" s="1"/>
  <c r="X99" i="2"/>
  <c r="Q99" i="2"/>
  <c r="J99" i="2"/>
  <c r="AF98" i="2"/>
  <c r="AH98" i="2" s="1"/>
  <c r="AM98" i="2" s="1"/>
  <c r="AD98" i="2"/>
  <c r="AC98" i="2"/>
  <c r="AB98" i="2"/>
  <c r="AA98" i="2"/>
  <c r="Z98" i="2"/>
  <c r="X98" i="2"/>
  <c r="Q98" i="2"/>
  <c r="J98" i="2"/>
  <c r="AF97" i="2"/>
  <c r="AH97" i="2" s="1"/>
  <c r="AM97" i="2" s="1"/>
  <c r="AD97" i="2"/>
  <c r="AC97" i="2"/>
  <c r="AB97" i="2"/>
  <c r="AA97" i="2"/>
  <c r="Z97" i="2"/>
  <c r="AE97" i="2" s="1"/>
  <c r="AG97" i="2" s="1"/>
  <c r="X97" i="2"/>
  <c r="Q97" i="2"/>
  <c r="J97" i="2"/>
  <c r="AF96" i="2"/>
  <c r="AH96" i="2" s="1"/>
  <c r="AM96" i="2" s="1"/>
  <c r="AD96" i="2"/>
  <c r="AC96" i="2"/>
  <c r="AB96" i="2"/>
  <c r="AA96" i="2"/>
  <c r="Z96" i="2"/>
  <c r="X96" i="2"/>
  <c r="Q96" i="2"/>
  <c r="J96" i="2"/>
  <c r="AF95" i="2"/>
  <c r="AH95" i="2" s="1"/>
  <c r="AM95" i="2" s="1"/>
  <c r="AD95" i="2"/>
  <c r="AC95" i="2"/>
  <c r="AB95" i="2"/>
  <c r="AA95" i="2"/>
  <c r="Z95" i="2"/>
  <c r="AE95" i="2" s="1"/>
  <c r="AG95" i="2" s="1"/>
  <c r="X95" i="2"/>
  <c r="Q95" i="2"/>
  <c r="J95" i="2"/>
  <c r="AF94" i="2"/>
  <c r="AH94" i="2" s="1"/>
  <c r="AM94" i="2" s="1"/>
  <c r="AD94" i="2"/>
  <c r="AC94" i="2"/>
  <c r="AB94" i="2"/>
  <c r="AA94" i="2"/>
  <c r="Z94" i="2"/>
  <c r="X94" i="2"/>
  <c r="Q94" i="2"/>
  <c r="J94" i="2"/>
  <c r="AF93" i="2"/>
  <c r="AH93" i="2" s="1"/>
  <c r="AM93" i="2" s="1"/>
  <c r="AD93" i="2"/>
  <c r="AC93" i="2"/>
  <c r="AB93" i="2"/>
  <c r="AA93" i="2"/>
  <c r="Z93" i="2"/>
  <c r="AE93" i="2" s="1"/>
  <c r="AG93" i="2" s="1"/>
  <c r="X93" i="2"/>
  <c r="Q93" i="2"/>
  <c r="J93" i="2"/>
  <c r="AF92" i="2"/>
  <c r="AH92" i="2" s="1"/>
  <c r="AM92" i="2" s="1"/>
  <c r="AD92" i="2"/>
  <c r="AC92" i="2"/>
  <c r="AB92" i="2"/>
  <c r="AA92" i="2"/>
  <c r="Z92" i="2"/>
  <c r="X92" i="2"/>
  <c r="Q92" i="2"/>
  <c r="J92" i="2"/>
  <c r="AF91" i="2"/>
  <c r="AH91" i="2" s="1"/>
  <c r="AM91" i="2" s="1"/>
  <c r="AD91" i="2"/>
  <c r="AC91" i="2"/>
  <c r="AB91" i="2"/>
  <c r="AA91" i="2"/>
  <c r="Z91" i="2"/>
  <c r="AE91" i="2" s="1"/>
  <c r="AG91" i="2" s="1"/>
  <c r="X91" i="2"/>
  <c r="Q91" i="2"/>
  <c r="J91" i="2"/>
  <c r="AF90" i="2"/>
  <c r="AH90" i="2" s="1"/>
  <c r="AM90" i="2" s="1"/>
  <c r="AD90" i="2"/>
  <c r="AC90" i="2"/>
  <c r="AB90" i="2"/>
  <c r="AA90" i="2"/>
  <c r="Z90" i="2"/>
  <c r="X90" i="2"/>
  <c r="Q90" i="2"/>
  <c r="J90" i="2"/>
  <c r="AF89" i="2"/>
  <c r="AH89" i="2" s="1"/>
  <c r="AM89" i="2" s="1"/>
  <c r="AD89" i="2"/>
  <c r="AC89" i="2"/>
  <c r="AB89" i="2"/>
  <c r="AA89" i="2"/>
  <c r="Z89" i="2"/>
  <c r="AE89" i="2" s="1"/>
  <c r="AG89" i="2" s="1"/>
  <c r="X89" i="2"/>
  <c r="Q89" i="2"/>
  <c r="J89" i="2"/>
  <c r="AF88" i="2"/>
  <c r="AH88" i="2" s="1"/>
  <c r="AM88" i="2" s="1"/>
  <c r="AD88" i="2"/>
  <c r="AC88" i="2"/>
  <c r="AB88" i="2"/>
  <c r="AA88" i="2"/>
  <c r="Z88" i="2"/>
  <c r="X88" i="2"/>
  <c r="Q88" i="2"/>
  <c r="J88" i="2"/>
  <c r="AF87" i="2"/>
  <c r="AH87" i="2" s="1"/>
  <c r="AM87" i="2" s="1"/>
  <c r="AD87" i="2"/>
  <c r="AC87" i="2"/>
  <c r="AB87" i="2"/>
  <c r="AA87" i="2"/>
  <c r="Z87" i="2"/>
  <c r="AE87" i="2" s="1"/>
  <c r="AG87" i="2" s="1"/>
  <c r="X87" i="2"/>
  <c r="Q87" i="2"/>
  <c r="J87" i="2"/>
  <c r="AF86" i="2"/>
  <c r="AH86" i="2" s="1"/>
  <c r="AM86" i="2" s="1"/>
  <c r="AD86" i="2"/>
  <c r="AC86" i="2"/>
  <c r="AB86" i="2"/>
  <c r="AA86" i="2"/>
  <c r="Z86" i="2"/>
  <c r="X86" i="2"/>
  <c r="Q86" i="2"/>
  <c r="J86" i="2"/>
  <c r="AF85" i="2"/>
  <c r="AH85" i="2" s="1"/>
  <c r="AM85" i="2" s="1"/>
  <c r="AD85" i="2"/>
  <c r="AC85" i="2"/>
  <c r="AB85" i="2"/>
  <c r="AA85" i="2"/>
  <c r="Z85" i="2"/>
  <c r="AE85" i="2" s="1"/>
  <c r="AG85" i="2" s="1"/>
  <c r="X85" i="2"/>
  <c r="Q85" i="2"/>
  <c r="J85" i="2"/>
  <c r="AF84" i="2"/>
  <c r="AH84" i="2" s="1"/>
  <c r="AM84" i="2" s="1"/>
  <c r="AD84" i="2"/>
  <c r="AC84" i="2"/>
  <c r="AB84" i="2"/>
  <c r="AA84" i="2"/>
  <c r="Z84" i="2"/>
  <c r="X84" i="2"/>
  <c r="Q84" i="2"/>
  <c r="J84" i="2"/>
  <c r="AF83" i="2"/>
  <c r="AH83" i="2" s="1"/>
  <c r="AM83" i="2" s="1"/>
  <c r="AD83" i="2"/>
  <c r="AC83" i="2"/>
  <c r="AB83" i="2"/>
  <c r="AA83" i="2"/>
  <c r="Z83" i="2"/>
  <c r="AE83" i="2" s="1"/>
  <c r="AG83" i="2" s="1"/>
  <c r="X83" i="2"/>
  <c r="Q83" i="2"/>
  <c r="J83" i="2"/>
  <c r="AF82" i="2"/>
  <c r="AH82" i="2" s="1"/>
  <c r="AM82" i="2" s="1"/>
  <c r="AD82" i="2"/>
  <c r="AC82" i="2"/>
  <c r="AB82" i="2"/>
  <c r="AA82" i="2"/>
  <c r="Z82" i="2"/>
  <c r="X82" i="2"/>
  <c r="Q82" i="2"/>
  <c r="J82" i="2"/>
  <c r="AH81" i="2"/>
  <c r="AI81" i="2" s="1"/>
  <c r="AK81" i="2" s="1"/>
  <c r="AE81" i="2"/>
  <c r="AG81" i="2" s="1"/>
  <c r="X81" i="2"/>
  <c r="Q81" i="2"/>
  <c r="J81" i="2"/>
  <c r="AF80" i="2"/>
  <c r="AH80" i="2" s="1"/>
  <c r="AM80" i="2" s="1"/>
  <c r="AD80" i="2"/>
  <c r="AC80" i="2"/>
  <c r="AB80" i="2"/>
  <c r="AA80" i="2"/>
  <c r="Z80" i="2"/>
  <c r="X80" i="2"/>
  <c r="Q80" i="2"/>
  <c r="J80" i="2"/>
  <c r="AF79" i="2"/>
  <c r="AH79" i="2" s="1"/>
  <c r="AM79" i="2" s="1"/>
  <c r="AD79" i="2"/>
  <c r="AC79" i="2"/>
  <c r="AB79" i="2"/>
  <c r="AA79" i="2"/>
  <c r="Z79" i="2"/>
  <c r="X79" i="2"/>
  <c r="Q79" i="2"/>
  <c r="J79" i="2"/>
  <c r="AF78" i="2"/>
  <c r="AH78" i="2" s="1"/>
  <c r="AM78" i="2" s="1"/>
  <c r="AD78" i="2"/>
  <c r="AC78" i="2"/>
  <c r="AB78" i="2"/>
  <c r="AA78" i="2"/>
  <c r="Z78" i="2"/>
  <c r="X78" i="2"/>
  <c r="Q78" i="2"/>
  <c r="J78" i="2"/>
  <c r="AF77" i="2"/>
  <c r="AH77" i="2" s="1"/>
  <c r="AM77" i="2" s="1"/>
  <c r="AD77" i="2"/>
  <c r="AC77" i="2"/>
  <c r="AB77" i="2"/>
  <c r="AA77" i="2"/>
  <c r="Z77" i="2"/>
  <c r="X77" i="2"/>
  <c r="Q77" i="2"/>
  <c r="J77" i="2"/>
  <c r="AF76" i="2"/>
  <c r="AH76" i="2" s="1"/>
  <c r="AM76" i="2" s="1"/>
  <c r="AD76" i="2"/>
  <c r="AC76" i="2"/>
  <c r="AB76" i="2"/>
  <c r="AA76" i="2"/>
  <c r="Z76" i="2"/>
  <c r="X76" i="2"/>
  <c r="Q76" i="2"/>
  <c r="J76" i="2"/>
  <c r="AF75" i="2"/>
  <c r="AH75" i="2" s="1"/>
  <c r="AM75" i="2" s="1"/>
  <c r="AD75" i="2"/>
  <c r="AC75" i="2"/>
  <c r="AB75" i="2"/>
  <c r="AA75" i="2"/>
  <c r="Z75" i="2"/>
  <c r="X75" i="2"/>
  <c r="Q75" i="2"/>
  <c r="J75" i="2"/>
  <c r="AF74" i="2"/>
  <c r="AH74" i="2" s="1"/>
  <c r="AD74" i="2"/>
  <c r="AC74" i="2"/>
  <c r="AB74" i="2"/>
  <c r="AA74" i="2"/>
  <c r="Z74" i="2"/>
  <c r="AE74" i="2" s="1"/>
  <c r="AG74" i="2" s="1"/>
  <c r="X74" i="2"/>
  <c r="Q74" i="2"/>
  <c r="J74" i="2"/>
  <c r="AF73" i="2"/>
  <c r="AH73" i="2" s="1"/>
  <c r="AM73" i="2" s="1"/>
  <c r="AD73" i="2"/>
  <c r="AC73" i="2"/>
  <c r="AB73" i="2"/>
  <c r="AA73" i="2"/>
  <c r="Z73" i="2"/>
  <c r="X73" i="2"/>
  <c r="Q73" i="2"/>
  <c r="J73" i="2"/>
  <c r="AF72" i="2"/>
  <c r="AH72" i="2" s="1"/>
  <c r="AM72" i="2" s="1"/>
  <c r="AD72" i="2"/>
  <c r="AC72" i="2"/>
  <c r="AB72" i="2"/>
  <c r="AA72" i="2"/>
  <c r="Z72" i="2"/>
  <c r="AE72" i="2" s="1"/>
  <c r="AG72" i="2" s="1"/>
  <c r="X72" i="2"/>
  <c r="Q72" i="2"/>
  <c r="J72" i="2"/>
  <c r="AF71" i="2"/>
  <c r="AH71" i="2" s="1"/>
  <c r="AM71" i="2" s="1"/>
  <c r="AD71" i="2"/>
  <c r="AC71" i="2"/>
  <c r="AB71" i="2"/>
  <c r="AA71" i="2"/>
  <c r="Z71" i="2"/>
  <c r="X71" i="2"/>
  <c r="Q71" i="2"/>
  <c r="J71" i="2"/>
  <c r="AF70" i="2"/>
  <c r="AH70" i="2" s="1"/>
  <c r="AM70" i="2" s="1"/>
  <c r="AD70" i="2"/>
  <c r="AC70" i="2"/>
  <c r="AB70" i="2"/>
  <c r="AA70" i="2"/>
  <c r="Z70" i="2"/>
  <c r="AE70" i="2" s="1"/>
  <c r="AG70" i="2" s="1"/>
  <c r="X70" i="2"/>
  <c r="Q70" i="2"/>
  <c r="J70" i="2"/>
  <c r="AF69" i="2"/>
  <c r="AH69" i="2" s="1"/>
  <c r="AM69" i="2" s="1"/>
  <c r="AD69" i="2"/>
  <c r="AC69" i="2"/>
  <c r="AB69" i="2"/>
  <c r="AA69" i="2"/>
  <c r="Z69" i="2"/>
  <c r="X69" i="2"/>
  <c r="Q69" i="2"/>
  <c r="J69" i="2"/>
  <c r="AF68" i="2"/>
  <c r="AH68" i="2" s="1"/>
  <c r="AM68" i="2" s="1"/>
  <c r="AD68" i="2"/>
  <c r="AC68" i="2"/>
  <c r="AB68" i="2"/>
  <c r="AA68" i="2"/>
  <c r="Z68" i="2"/>
  <c r="AE68" i="2" s="1"/>
  <c r="AG68" i="2" s="1"/>
  <c r="X68" i="2"/>
  <c r="Q68" i="2"/>
  <c r="J68" i="2"/>
  <c r="AF67" i="2"/>
  <c r="AH67" i="2" s="1"/>
  <c r="AM67" i="2" s="1"/>
  <c r="AD67" i="2"/>
  <c r="AC67" i="2"/>
  <c r="AB67" i="2"/>
  <c r="AA67" i="2"/>
  <c r="Z67" i="2"/>
  <c r="X67" i="2"/>
  <c r="Q67" i="2"/>
  <c r="J67" i="2"/>
  <c r="AF66" i="2"/>
  <c r="AH66" i="2" s="1"/>
  <c r="AM66" i="2" s="1"/>
  <c r="AD66" i="2"/>
  <c r="AC66" i="2"/>
  <c r="AB66" i="2"/>
  <c r="AA66" i="2"/>
  <c r="Z66" i="2"/>
  <c r="AE66" i="2" s="1"/>
  <c r="AG66" i="2" s="1"/>
  <c r="X66" i="2"/>
  <c r="Q66" i="2"/>
  <c r="J66" i="2"/>
  <c r="AF65" i="2"/>
  <c r="AH65" i="2" s="1"/>
  <c r="AM65" i="2" s="1"/>
  <c r="AD65" i="2"/>
  <c r="AC65" i="2"/>
  <c r="AB65" i="2"/>
  <c r="AA65" i="2"/>
  <c r="Z65" i="2"/>
  <c r="X65" i="2"/>
  <c r="Q65" i="2"/>
  <c r="J65" i="2"/>
  <c r="AF64" i="2"/>
  <c r="AH64" i="2" s="1"/>
  <c r="AM64" i="2" s="1"/>
  <c r="AD64" i="2"/>
  <c r="AC64" i="2"/>
  <c r="AB64" i="2"/>
  <c r="AA64" i="2"/>
  <c r="Z64" i="2"/>
  <c r="AE64" i="2" s="1"/>
  <c r="AG64" i="2" s="1"/>
  <c r="X64" i="2"/>
  <c r="Q64" i="2"/>
  <c r="J64" i="2"/>
  <c r="AF63" i="2"/>
  <c r="AH63" i="2" s="1"/>
  <c r="AM63" i="2" s="1"/>
  <c r="AD63" i="2"/>
  <c r="AC63" i="2"/>
  <c r="AB63" i="2"/>
  <c r="AA63" i="2"/>
  <c r="Z63" i="2"/>
  <c r="X63" i="2"/>
  <c r="Q63" i="2"/>
  <c r="J63" i="2"/>
  <c r="AF62" i="2"/>
  <c r="AH62" i="2" s="1"/>
  <c r="AM62" i="2" s="1"/>
  <c r="AD62" i="2"/>
  <c r="AC62" i="2"/>
  <c r="AB62" i="2"/>
  <c r="AA62" i="2"/>
  <c r="Z62" i="2"/>
  <c r="AE62" i="2" s="1"/>
  <c r="AG62" i="2" s="1"/>
  <c r="X62" i="2"/>
  <c r="Q62" i="2"/>
  <c r="J62" i="2"/>
  <c r="AF61" i="2"/>
  <c r="AH61" i="2" s="1"/>
  <c r="AM61" i="2" s="1"/>
  <c r="AD61" i="2"/>
  <c r="AC61" i="2"/>
  <c r="AB61" i="2"/>
  <c r="AA61" i="2"/>
  <c r="Z61" i="2"/>
  <c r="X61" i="2"/>
  <c r="Q61" i="2"/>
  <c r="J61" i="2"/>
  <c r="AF60" i="2"/>
  <c r="AH60" i="2" s="1"/>
  <c r="AM60" i="2" s="1"/>
  <c r="AD60" i="2"/>
  <c r="AC60" i="2"/>
  <c r="AB60" i="2"/>
  <c r="AA60" i="2"/>
  <c r="Z60" i="2"/>
  <c r="AE60" i="2" s="1"/>
  <c r="AG60" i="2" s="1"/>
  <c r="X60" i="2"/>
  <c r="Q60" i="2"/>
  <c r="J60" i="2"/>
  <c r="AF59" i="2"/>
  <c r="AH59" i="2" s="1"/>
  <c r="AM59" i="2" s="1"/>
  <c r="AD59" i="2"/>
  <c r="AC59" i="2"/>
  <c r="AB59" i="2"/>
  <c r="AA59" i="2"/>
  <c r="Z59" i="2"/>
  <c r="AE59" i="2" s="1"/>
  <c r="AG59" i="2" s="1"/>
  <c r="X59" i="2"/>
  <c r="Q59" i="2"/>
  <c r="J59" i="2"/>
  <c r="AF58" i="2"/>
  <c r="AH58" i="2" s="1"/>
  <c r="AM58" i="2" s="1"/>
  <c r="AD58" i="2"/>
  <c r="AC58" i="2"/>
  <c r="AB58" i="2"/>
  <c r="AA58" i="2"/>
  <c r="Z58" i="2"/>
  <c r="AE58" i="2" s="1"/>
  <c r="AG58" i="2" s="1"/>
  <c r="X58" i="2"/>
  <c r="Q58" i="2"/>
  <c r="J58" i="2"/>
  <c r="AF57" i="2"/>
  <c r="AH57" i="2" s="1"/>
  <c r="AM57" i="2" s="1"/>
  <c r="AD57" i="2"/>
  <c r="AC57" i="2"/>
  <c r="AB57" i="2"/>
  <c r="AA57" i="2"/>
  <c r="Z57" i="2"/>
  <c r="X57" i="2"/>
  <c r="Q57" i="2"/>
  <c r="J57" i="2"/>
  <c r="AF56" i="2"/>
  <c r="AH56" i="2" s="1"/>
  <c r="AM56" i="2" s="1"/>
  <c r="AD56" i="2"/>
  <c r="AC56" i="2"/>
  <c r="AB56" i="2"/>
  <c r="AA56" i="2"/>
  <c r="Z56" i="2"/>
  <c r="AE56" i="2" s="1"/>
  <c r="AG56" i="2" s="1"/>
  <c r="X56" i="2"/>
  <c r="Q56" i="2"/>
  <c r="J56" i="2"/>
  <c r="AF55" i="2"/>
  <c r="AH55" i="2" s="1"/>
  <c r="AM55" i="2" s="1"/>
  <c r="AD55" i="2"/>
  <c r="AC55" i="2"/>
  <c r="AB55" i="2"/>
  <c r="AA55" i="2"/>
  <c r="Z55" i="2"/>
  <c r="X55" i="2"/>
  <c r="Q55" i="2"/>
  <c r="J55" i="2"/>
  <c r="AF54" i="2"/>
  <c r="AH54" i="2" s="1"/>
  <c r="AM54" i="2" s="1"/>
  <c r="AD54" i="2"/>
  <c r="AC54" i="2"/>
  <c r="AB54" i="2"/>
  <c r="AA54" i="2"/>
  <c r="Z54" i="2"/>
  <c r="AE54" i="2" s="1"/>
  <c r="AG54" i="2" s="1"/>
  <c r="AL54" i="2" s="1"/>
  <c r="X54" i="2"/>
  <c r="Q54" i="2"/>
  <c r="J54" i="2"/>
  <c r="AF53" i="2"/>
  <c r="AH53" i="2" s="1"/>
  <c r="AM53" i="2" s="1"/>
  <c r="AD53" i="2"/>
  <c r="AC53" i="2"/>
  <c r="AB53" i="2"/>
  <c r="AA53" i="2"/>
  <c r="Z53" i="2"/>
  <c r="X53" i="2"/>
  <c r="Q53" i="2"/>
  <c r="J53" i="2"/>
  <c r="AF52" i="2"/>
  <c r="AH52" i="2" s="1"/>
  <c r="AM52" i="2" s="1"/>
  <c r="AD52" i="2"/>
  <c r="AC52" i="2"/>
  <c r="AB52" i="2"/>
  <c r="AA52" i="2"/>
  <c r="Z52" i="2"/>
  <c r="AE52" i="2" s="1"/>
  <c r="AG52" i="2" s="1"/>
  <c r="X52" i="2"/>
  <c r="Q52" i="2"/>
  <c r="J52" i="2"/>
  <c r="AF51" i="2"/>
  <c r="AH51" i="2" s="1"/>
  <c r="AM51" i="2" s="1"/>
  <c r="AD51" i="2"/>
  <c r="AC51" i="2"/>
  <c r="AB51" i="2"/>
  <c r="AA51" i="2"/>
  <c r="Z51" i="2"/>
  <c r="X51" i="2"/>
  <c r="Q51" i="2"/>
  <c r="J51" i="2"/>
  <c r="AF50" i="2"/>
  <c r="AH50" i="2" s="1"/>
  <c r="AM50" i="2" s="1"/>
  <c r="AD50" i="2"/>
  <c r="AC50" i="2"/>
  <c r="AB50" i="2"/>
  <c r="AA50" i="2"/>
  <c r="Z50" i="2"/>
  <c r="AE50" i="2" s="1"/>
  <c r="AG50" i="2" s="1"/>
  <c r="AL50" i="2" s="1"/>
  <c r="X50" i="2"/>
  <c r="Q50" i="2"/>
  <c r="J50" i="2"/>
  <c r="AF49" i="2"/>
  <c r="AH49" i="2" s="1"/>
  <c r="AM49" i="2" s="1"/>
  <c r="AD49" i="2"/>
  <c r="AC49" i="2"/>
  <c r="AB49" i="2"/>
  <c r="AA49" i="2"/>
  <c r="Z49" i="2"/>
  <c r="X49" i="2"/>
  <c r="Q49" i="2"/>
  <c r="J49" i="2"/>
  <c r="AF48" i="2"/>
  <c r="AH48" i="2" s="1"/>
  <c r="AM48" i="2" s="1"/>
  <c r="AD48" i="2"/>
  <c r="AC48" i="2"/>
  <c r="AB48" i="2"/>
  <c r="AA48" i="2"/>
  <c r="Z48" i="2"/>
  <c r="AE48" i="2" s="1"/>
  <c r="AG48" i="2" s="1"/>
  <c r="X48" i="2"/>
  <c r="Q48" i="2"/>
  <c r="J48" i="2"/>
  <c r="AF47" i="2"/>
  <c r="AH47" i="2" s="1"/>
  <c r="AM47" i="2" s="1"/>
  <c r="AD47" i="2"/>
  <c r="AC47" i="2"/>
  <c r="AB47" i="2"/>
  <c r="AA47" i="2"/>
  <c r="Z47" i="2"/>
  <c r="X47" i="2"/>
  <c r="Q47" i="2"/>
  <c r="J47" i="2"/>
  <c r="AF46" i="2"/>
  <c r="AH46" i="2" s="1"/>
  <c r="AM46" i="2" s="1"/>
  <c r="AD46" i="2"/>
  <c r="AC46" i="2"/>
  <c r="AB46" i="2"/>
  <c r="AA46" i="2"/>
  <c r="Z46" i="2"/>
  <c r="AE46" i="2" s="1"/>
  <c r="AG46" i="2" s="1"/>
  <c r="AL46" i="2" s="1"/>
  <c r="X46" i="2"/>
  <c r="Q46" i="2"/>
  <c r="J46" i="2"/>
  <c r="AF45" i="2"/>
  <c r="AH45" i="2" s="1"/>
  <c r="AM45" i="2" s="1"/>
  <c r="AD45" i="2"/>
  <c r="AC45" i="2"/>
  <c r="AB45" i="2"/>
  <c r="AA45" i="2"/>
  <c r="Z45" i="2"/>
  <c r="X45" i="2"/>
  <c r="Q45" i="2"/>
  <c r="J45" i="2"/>
  <c r="AF44" i="2"/>
  <c r="AH44" i="2" s="1"/>
  <c r="AM44" i="2" s="1"/>
  <c r="AD44" i="2"/>
  <c r="AC44" i="2"/>
  <c r="AB44" i="2"/>
  <c r="AA44" i="2"/>
  <c r="Z44" i="2"/>
  <c r="AE44" i="2" s="1"/>
  <c r="AG44" i="2" s="1"/>
  <c r="X44" i="2"/>
  <c r="Q44" i="2"/>
  <c r="J44" i="2"/>
  <c r="AF43" i="2"/>
  <c r="AH43" i="2" s="1"/>
  <c r="AM43" i="2" s="1"/>
  <c r="AD43" i="2"/>
  <c r="AC43" i="2"/>
  <c r="AB43" i="2"/>
  <c r="AA43" i="2"/>
  <c r="Z43" i="2"/>
  <c r="AE43" i="2" s="1"/>
  <c r="AG43" i="2" s="1"/>
  <c r="X43" i="2"/>
  <c r="Q43" i="2"/>
  <c r="J43" i="2"/>
  <c r="AF42" i="2"/>
  <c r="AH42" i="2" s="1"/>
  <c r="AM42" i="2" s="1"/>
  <c r="AD42" i="2"/>
  <c r="AC42" i="2"/>
  <c r="AB42" i="2"/>
  <c r="AA42" i="2"/>
  <c r="Z42" i="2"/>
  <c r="AE42" i="2" s="1"/>
  <c r="AG42" i="2" s="1"/>
  <c r="X42" i="2"/>
  <c r="Q42" i="2"/>
  <c r="J42" i="2"/>
  <c r="AF41" i="2"/>
  <c r="AH41" i="2" s="1"/>
  <c r="AM41" i="2" s="1"/>
  <c r="AD41" i="2"/>
  <c r="AC41" i="2"/>
  <c r="AB41" i="2"/>
  <c r="AA41" i="2"/>
  <c r="Z41" i="2"/>
  <c r="X41" i="2"/>
  <c r="Q41" i="2"/>
  <c r="J41" i="2"/>
  <c r="AF40" i="2"/>
  <c r="AH40" i="2" s="1"/>
  <c r="AM40" i="2" s="1"/>
  <c r="AD40" i="2"/>
  <c r="AC40" i="2"/>
  <c r="AB40" i="2"/>
  <c r="AA40" i="2"/>
  <c r="Z40" i="2"/>
  <c r="AE40" i="2" s="1"/>
  <c r="AG40" i="2" s="1"/>
  <c r="X40" i="2"/>
  <c r="Q40" i="2"/>
  <c r="J40" i="2"/>
  <c r="AF39" i="2"/>
  <c r="AH39" i="2" s="1"/>
  <c r="AM39" i="2" s="1"/>
  <c r="AD39" i="2"/>
  <c r="AC39" i="2"/>
  <c r="AB39" i="2"/>
  <c r="AA39" i="2"/>
  <c r="Z39" i="2"/>
  <c r="X39" i="2"/>
  <c r="Q39" i="2"/>
  <c r="J39" i="2"/>
  <c r="AF38" i="2"/>
  <c r="AH38" i="2" s="1"/>
  <c r="AM38" i="2" s="1"/>
  <c r="AD38" i="2"/>
  <c r="AC38" i="2"/>
  <c r="AB38" i="2"/>
  <c r="AA38" i="2"/>
  <c r="Z38" i="2"/>
  <c r="AE38" i="2" s="1"/>
  <c r="AG38" i="2" s="1"/>
  <c r="X38" i="2"/>
  <c r="Q38" i="2"/>
  <c r="J38" i="2"/>
  <c r="AF37" i="2"/>
  <c r="AH37" i="2" s="1"/>
  <c r="AM37" i="2" s="1"/>
  <c r="AD37" i="2"/>
  <c r="AC37" i="2"/>
  <c r="AB37" i="2"/>
  <c r="AA37" i="2"/>
  <c r="Z37" i="2"/>
  <c r="X37" i="2"/>
  <c r="Q37" i="2"/>
  <c r="J37" i="2"/>
  <c r="AF36" i="2"/>
  <c r="AH36" i="2" s="1"/>
  <c r="AM36" i="2" s="1"/>
  <c r="AD36" i="2"/>
  <c r="AC36" i="2"/>
  <c r="AB36" i="2"/>
  <c r="AA36" i="2"/>
  <c r="Z36" i="2"/>
  <c r="AE36" i="2" s="1"/>
  <c r="AG36" i="2" s="1"/>
  <c r="X36" i="2"/>
  <c r="Q36" i="2"/>
  <c r="J36" i="2"/>
  <c r="AF35" i="2"/>
  <c r="AH35" i="2" s="1"/>
  <c r="AM35" i="2" s="1"/>
  <c r="AD35" i="2"/>
  <c r="AC35" i="2"/>
  <c r="AB35" i="2"/>
  <c r="AA35" i="2"/>
  <c r="Z35" i="2"/>
  <c r="X35" i="2"/>
  <c r="Q35" i="2"/>
  <c r="J35" i="2"/>
  <c r="AF34" i="2"/>
  <c r="AH34" i="2" s="1"/>
  <c r="AM34" i="2" s="1"/>
  <c r="AD34" i="2"/>
  <c r="AC34" i="2"/>
  <c r="AB34" i="2"/>
  <c r="AA34" i="2"/>
  <c r="Z34" i="2"/>
  <c r="AE34" i="2" s="1"/>
  <c r="AG34" i="2" s="1"/>
  <c r="X34" i="2"/>
  <c r="Q34" i="2"/>
  <c r="J34" i="2"/>
  <c r="AF33" i="2"/>
  <c r="AH33" i="2" s="1"/>
  <c r="AM33" i="2" s="1"/>
  <c r="AD33" i="2"/>
  <c r="AC33" i="2"/>
  <c r="AB33" i="2"/>
  <c r="AA33" i="2"/>
  <c r="Z33" i="2"/>
  <c r="X33" i="2"/>
  <c r="Q33" i="2"/>
  <c r="J33" i="2"/>
  <c r="AF32" i="2"/>
  <c r="AH32" i="2" s="1"/>
  <c r="AM32" i="2" s="1"/>
  <c r="AD32" i="2"/>
  <c r="AC32" i="2"/>
  <c r="AB32" i="2"/>
  <c r="AA32" i="2"/>
  <c r="Z32" i="2"/>
  <c r="AE32" i="2" s="1"/>
  <c r="AG32" i="2" s="1"/>
  <c r="X32" i="2"/>
  <c r="Q32" i="2"/>
  <c r="J32" i="2"/>
  <c r="AF31" i="2"/>
  <c r="AH31" i="2" s="1"/>
  <c r="AM31" i="2" s="1"/>
  <c r="AD31" i="2"/>
  <c r="AC31" i="2"/>
  <c r="AB31" i="2"/>
  <c r="AA31" i="2"/>
  <c r="Z31" i="2"/>
  <c r="X31" i="2"/>
  <c r="Q31" i="2"/>
  <c r="J31" i="2"/>
  <c r="AF30" i="2"/>
  <c r="AH30" i="2" s="1"/>
  <c r="AM30" i="2" s="1"/>
  <c r="AD30" i="2"/>
  <c r="AC30" i="2"/>
  <c r="AB30" i="2"/>
  <c r="AA30" i="2"/>
  <c r="Z30" i="2"/>
  <c r="AE30" i="2" s="1"/>
  <c r="AG30" i="2" s="1"/>
  <c r="X30" i="2"/>
  <c r="Q30" i="2"/>
  <c r="J30" i="2"/>
  <c r="AF29" i="2"/>
  <c r="AH29" i="2" s="1"/>
  <c r="AM29" i="2" s="1"/>
  <c r="AD29" i="2"/>
  <c r="AC29" i="2"/>
  <c r="AB29" i="2"/>
  <c r="AA29" i="2"/>
  <c r="Z29" i="2"/>
  <c r="X29" i="2"/>
  <c r="Q29" i="2"/>
  <c r="J29" i="2"/>
  <c r="AF28" i="2"/>
  <c r="AH28" i="2" s="1"/>
  <c r="AM28" i="2" s="1"/>
  <c r="AD28" i="2"/>
  <c r="AC28" i="2"/>
  <c r="AB28" i="2"/>
  <c r="AA28" i="2"/>
  <c r="Z28" i="2"/>
  <c r="AE28" i="2" s="1"/>
  <c r="AG28" i="2" s="1"/>
  <c r="X28" i="2"/>
  <c r="Q28" i="2"/>
  <c r="J28" i="2"/>
  <c r="AF27" i="2"/>
  <c r="AH27" i="2" s="1"/>
  <c r="AM27" i="2" s="1"/>
  <c r="AD27" i="2"/>
  <c r="AC27" i="2"/>
  <c r="AB27" i="2"/>
  <c r="AA27" i="2"/>
  <c r="Z27" i="2"/>
  <c r="AE27" i="2" s="1"/>
  <c r="AG27" i="2" s="1"/>
  <c r="X27" i="2"/>
  <c r="Q27" i="2"/>
  <c r="J27" i="2"/>
  <c r="AF26" i="2"/>
  <c r="AH26" i="2" s="1"/>
  <c r="AM26" i="2" s="1"/>
  <c r="AD26" i="2"/>
  <c r="AC26" i="2"/>
  <c r="AB26" i="2"/>
  <c r="AA26" i="2"/>
  <c r="Z26" i="2"/>
  <c r="AE26" i="2" s="1"/>
  <c r="AG26" i="2" s="1"/>
  <c r="X26" i="2"/>
  <c r="Q26" i="2"/>
  <c r="J26" i="2"/>
  <c r="AF25" i="2"/>
  <c r="AH25" i="2" s="1"/>
  <c r="AM25" i="2" s="1"/>
  <c r="AD25" i="2"/>
  <c r="AC25" i="2"/>
  <c r="AB25" i="2"/>
  <c r="AA25" i="2"/>
  <c r="Z25" i="2"/>
  <c r="X25" i="2"/>
  <c r="Q25" i="2"/>
  <c r="J25" i="2"/>
  <c r="AF24" i="2"/>
  <c r="AH24" i="2" s="1"/>
  <c r="AM24" i="2" s="1"/>
  <c r="AD24" i="2"/>
  <c r="AC24" i="2"/>
  <c r="AB24" i="2"/>
  <c r="AA24" i="2"/>
  <c r="Z24" i="2"/>
  <c r="AE24" i="2" s="1"/>
  <c r="AG24" i="2" s="1"/>
  <c r="X24" i="2"/>
  <c r="Q24" i="2"/>
  <c r="J24" i="2"/>
  <c r="AF23" i="2"/>
  <c r="AH23" i="2" s="1"/>
  <c r="AM23" i="2" s="1"/>
  <c r="AD23" i="2"/>
  <c r="AC23" i="2"/>
  <c r="AB23" i="2"/>
  <c r="AA23" i="2"/>
  <c r="Z23" i="2"/>
  <c r="X23" i="2"/>
  <c r="Q23" i="2"/>
  <c r="J23" i="2"/>
  <c r="AF22" i="2"/>
  <c r="AH22" i="2" s="1"/>
  <c r="AM22" i="2" s="1"/>
  <c r="AD22" i="2"/>
  <c r="AC22" i="2"/>
  <c r="AB22" i="2"/>
  <c r="AA22" i="2"/>
  <c r="Z22" i="2"/>
  <c r="AE22" i="2" s="1"/>
  <c r="AG22" i="2" s="1"/>
  <c r="AL22" i="2" s="1"/>
  <c r="X22" i="2"/>
  <c r="Q22" i="2"/>
  <c r="J22" i="2"/>
  <c r="AF21" i="2"/>
  <c r="AH21" i="2" s="1"/>
  <c r="AM21" i="2" s="1"/>
  <c r="AD21" i="2"/>
  <c r="AC21" i="2"/>
  <c r="AB21" i="2"/>
  <c r="AA21" i="2"/>
  <c r="Z21" i="2"/>
  <c r="X21" i="2"/>
  <c r="Q21" i="2"/>
  <c r="J21" i="2"/>
  <c r="AF20" i="2"/>
  <c r="AH20" i="2" s="1"/>
  <c r="AM20" i="2" s="1"/>
  <c r="AD20" i="2"/>
  <c r="AC20" i="2"/>
  <c r="AB20" i="2"/>
  <c r="AA20" i="2"/>
  <c r="Z20" i="2"/>
  <c r="X20" i="2"/>
  <c r="Q20" i="2"/>
  <c r="J20" i="2"/>
  <c r="AF19" i="2"/>
  <c r="AH19" i="2" s="1"/>
  <c r="AM19" i="2" s="1"/>
  <c r="AD19" i="2"/>
  <c r="AC19" i="2"/>
  <c r="AB19" i="2"/>
  <c r="AA19" i="2"/>
  <c r="Z19" i="2"/>
  <c r="X19" i="2"/>
  <c r="Q19" i="2"/>
  <c r="J19" i="2"/>
  <c r="AF18" i="2"/>
  <c r="AH18" i="2" s="1"/>
  <c r="AM18" i="2" s="1"/>
  <c r="AD18" i="2"/>
  <c r="AC18" i="2"/>
  <c r="AB18" i="2"/>
  <c r="AA18" i="2"/>
  <c r="Z18" i="2"/>
  <c r="X18" i="2"/>
  <c r="Q18" i="2"/>
  <c r="J18" i="2"/>
  <c r="AF17" i="2"/>
  <c r="AH17" i="2" s="1"/>
  <c r="AM17" i="2" s="1"/>
  <c r="AD17" i="2"/>
  <c r="AC17" i="2"/>
  <c r="AB17" i="2"/>
  <c r="AA17" i="2"/>
  <c r="Z17" i="2"/>
  <c r="X17" i="2"/>
  <c r="Q17" i="2"/>
  <c r="J17" i="2"/>
  <c r="AF16" i="2"/>
  <c r="AH16" i="2" s="1"/>
  <c r="AM16" i="2" s="1"/>
  <c r="AD16" i="2"/>
  <c r="AC16" i="2"/>
  <c r="AB16" i="2"/>
  <c r="AA16" i="2"/>
  <c r="Z16" i="2"/>
  <c r="X16" i="2"/>
  <c r="Q16" i="2"/>
  <c r="J16" i="2"/>
  <c r="AF15" i="2"/>
  <c r="AH15" i="2" s="1"/>
  <c r="AM15" i="2" s="1"/>
  <c r="AD15" i="2"/>
  <c r="AC15" i="2"/>
  <c r="AB15" i="2"/>
  <c r="AA15" i="2"/>
  <c r="Z15" i="2"/>
  <c r="X15" i="2"/>
  <c r="Q15" i="2"/>
  <c r="J15" i="2"/>
  <c r="AF14" i="2"/>
  <c r="AH14" i="2" s="1"/>
  <c r="AM14" i="2" s="1"/>
  <c r="AD14" i="2"/>
  <c r="AC14" i="2"/>
  <c r="AB14" i="2"/>
  <c r="AA14" i="2"/>
  <c r="Z14" i="2"/>
  <c r="X14" i="2"/>
  <c r="Q14" i="2"/>
  <c r="J14" i="2"/>
  <c r="AF13" i="2"/>
  <c r="AH13" i="2" s="1"/>
  <c r="AM13" i="2" s="1"/>
  <c r="AD13" i="2"/>
  <c r="AC13" i="2"/>
  <c r="AB13" i="2"/>
  <c r="AA13" i="2"/>
  <c r="Z13" i="2"/>
  <c r="X13" i="2"/>
  <c r="Q13" i="2"/>
  <c r="J13" i="2"/>
  <c r="AF12" i="2"/>
  <c r="AH12" i="2" s="1"/>
  <c r="AM12" i="2" s="1"/>
  <c r="AD12" i="2"/>
  <c r="AC12" i="2"/>
  <c r="AB12" i="2"/>
  <c r="AA12" i="2"/>
  <c r="Z12" i="2"/>
  <c r="X12" i="2"/>
  <c r="Q12" i="2"/>
  <c r="J12" i="2"/>
  <c r="AF11" i="2"/>
  <c r="AH11" i="2" s="1"/>
  <c r="AM11" i="2" s="1"/>
  <c r="AD11" i="2"/>
  <c r="AC11" i="2"/>
  <c r="AB11" i="2"/>
  <c r="AA11" i="2"/>
  <c r="Z11" i="2"/>
  <c r="X11" i="2"/>
  <c r="Q11" i="2"/>
  <c r="J11" i="2"/>
  <c r="AF10" i="2"/>
  <c r="AH10" i="2" s="1"/>
  <c r="AM10" i="2" s="1"/>
  <c r="AD10" i="2"/>
  <c r="AC10" i="2"/>
  <c r="AB10" i="2"/>
  <c r="AA10" i="2"/>
  <c r="Z10" i="2"/>
  <c r="X10" i="2"/>
  <c r="Q10" i="2"/>
  <c r="J10" i="2"/>
  <c r="AF9" i="2"/>
  <c r="AH9" i="2" s="1"/>
  <c r="AM9" i="2" s="1"/>
  <c r="AD9" i="2"/>
  <c r="AC9" i="2"/>
  <c r="AB9" i="2"/>
  <c r="AA9" i="2"/>
  <c r="Z9" i="2"/>
  <c r="X9" i="2"/>
  <c r="Q9" i="2"/>
  <c r="J9" i="2"/>
  <c r="AF8" i="2"/>
  <c r="AH8" i="2" s="1"/>
  <c r="AM8" i="2" s="1"/>
  <c r="AD8" i="2"/>
  <c r="AC8" i="2"/>
  <c r="AB8" i="2"/>
  <c r="AA8" i="2"/>
  <c r="Z8" i="2"/>
  <c r="X8" i="2"/>
  <c r="Q8" i="2"/>
  <c r="J8" i="2"/>
  <c r="AF7" i="2"/>
  <c r="AH7" i="2" s="1"/>
  <c r="AM7" i="2" s="1"/>
  <c r="AD7" i="2"/>
  <c r="AC7" i="2"/>
  <c r="AB7" i="2"/>
  <c r="AA7" i="2"/>
  <c r="Z7" i="2"/>
  <c r="X7" i="2"/>
  <c r="Q7" i="2"/>
  <c r="J7" i="2"/>
  <c r="AF6" i="2"/>
  <c r="AH6" i="2" s="1"/>
  <c r="AM6" i="2" s="1"/>
  <c r="AD6" i="2"/>
  <c r="AC6" i="2"/>
  <c r="AB6" i="2"/>
  <c r="AA6" i="2"/>
  <c r="Z6" i="2"/>
  <c r="X6" i="2"/>
  <c r="Q6" i="2"/>
  <c r="J6" i="2"/>
  <c r="AF5" i="2"/>
  <c r="AH5" i="2" s="1"/>
  <c r="AM5" i="2" s="1"/>
  <c r="AD5" i="2"/>
  <c r="AC5" i="2"/>
  <c r="AB5" i="2"/>
  <c r="AA5" i="2"/>
  <c r="Z5" i="2"/>
  <c r="X5" i="2"/>
  <c r="Q5" i="2"/>
  <c r="J5" i="2"/>
  <c r="AF4" i="2"/>
  <c r="AH4" i="2" s="1"/>
  <c r="AD4" i="2"/>
  <c r="AC4" i="2"/>
  <c r="AB4" i="2"/>
  <c r="AA4" i="2"/>
  <c r="Z4" i="2"/>
  <c r="X4" i="2"/>
  <c r="Q4" i="2"/>
  <c r="J4" i="2"/>
  <c r="L13" i="4"/>
  <c r="H13" i="4"/>
  <c r="E13" i="4"/>
  <c r="S12" i="4"/>
  <c r="T12" i="4" s="1"/>
  <c r="S11" i="4"/>
  <c r="C11" i="4"/>
  <c r="R11" i="4" s="1"/>
  <c r="T11" i="4" s="1"/>
  <c r="S10" i="4"/>
  <c r="T10" i="4" s="1"/>
  <c r="S9" i="4"/>
  <c r="R9" i="4"/>
  <c r="Q13" i="4"/>
  <c r="P13" i="4"/>
  <c r="O13" i="4"/>
  <c r="N13" i="4"/>
  <c r="M13" i="4"/>
  <c r="K13" i="4"/>
  <c r="J13" i="4"/>
  <c r="I13" i="4"/>
  <c r="G13" i="4"/>
  <c r="F8" i="4"/>
  <c r="F13" i="4" s="1"/>
  <c r="C8" i="4"/>
  <c r="S7" i="4"/>
  <c r="S6" i="4"/>
  <c r="D6" i="15"/>
  <c r="C13" i="4" l="1"/>
  <c r="AE65" i="2"/>
  <c r="AG65" i="2" s="1"/>
  <c r="X124" i="2"/>
  <c r="X126" i="2" s="1"/>
  <c r="AE33" i="2"/>
  <c r="AG33" i="2" s="1"/>
  <c r="T9" i="4"/>
  <c r="AE61" i="2"/>
  <c r="AG61" i="2" s="1"/>
  <c r="AE8" i="2"/>
  <c r="AG8" i="2" s="1"/>
  <c r="AE12" i="2"/>
  <c r="AG12" i="2" s="1"/>
  <c r="AL12" i="2" s="1"/>
  <c r="AE16" i="2"/>
  <c r="AG16" i="2" s="1"/>
  <c r="AE41" i="2"/>
  <c r="AG41" i="2" s="1"/>
  <c r="AL41" i="2" s="1"/>
  <c r="AE20" i="2"/>
  <c r="AG20" i="2" s="1"/>
  <c r="AE6" i="2"/>
  <c r="AG6" i="2" s="1"/>
  <c r="AL6" i="2" s="1"/>
  <c r="AE10" i="2"/>
  <c r="AG10" i="2" s="1"/>
  <c r="AI10" i="2" s="1"/>
  <c r="AK10" i="2" s="1"/>
  <c r="AE18" i="2"/>
  <c r="AG18" i="2" s="1"/>
  <c r="AL18" i="2" s="1"/>
  <c r="AE73" i="2"/>
  <c r="AG73" i="2" s="1"/>
  <c r="AI73" i="2" s="1"/>
  <c r="AK73" i="2" s="1"/>
  <c r="AI74" i="2"/>
  <c r="AE69" i="2"/>
  <c r="AG69" i="2" s="1"/>
  <c r="AL69" i="2" s="1"/>
  <c r="AI70" i="2"/>
  <c r="AK70" i="2" s="1"/>
  <c r="AI110" i="2"/>
  <c r="AK110" i="2" s="1"/>
  <c r="AI62" i="2"/>
  <c r="AK62" i="2" s="1"/>
  <c r="AE14" i="2"/>
  <c r="AG14" i="2" s="1"/>
  <c r="AI14" i="2" s="1"/>
  <c r="AK14" i="2" s="1"/>
  <c r="AE29" i="2"/>
  <c r="AG29" i="2" s="1"/>
  <c r="AL29" i="2" s="1"/>
  <c r="AE37" i="2"/>
  <c r="AG37" i="2" s="1"/>
  <c r="AI66" i="2"/>
  <c r="AK66" i="2" s="1"/>
  <c r="AI42" i="2"/>
  <c r="AK42" i="2" s="1"/>
  <c r="AI118" i="2"/>
  <c r="AK118" i="2" s="1"/>
  <c r="AI30" i="2"/>
  <c r="AK30" i="2" s="1"/>
  <c r="AI34" i="2"/>
  <c r="AK34" i="2" s="1"/>
  <c r="AI38" i="2"/>
  <c r="AK38" i="2" s="1"/>
  <c r="AE7" i="2"/>
  <c r="AG7" i="2" s="1"/>
  <c r="AI7" i="2" s="1"/>
  <c r="AK7" i="2" s="1"/>
  <c r="AE11" i="2"/>
  <c r="AG11" i="2" s="1"/>
  <c r="AL11" i="2" s="1"/>
  <c r="AE15" i="2"/>
  <c r="AG15" i="2" s="1"/>
  <c r="AL15" i="2" s="1"/>
  <c r="AE19" i="2"/>
  <c r="AG19" i="2" s="1"/>
  <c r="AL19" i="2" s="1"/>
  <c r="AI22" i="2"/>
  <c r="AK22" i="2" s="1"/>
  <c r="AI26" i="2"/>
  <c r="AK26" i="2" s="1"/>
  <c r="AE45" i="2"/>
  <c r="AG45" i="2" s="1"/>
  <c r="AL45" i="2" s="1"/>
  <c r="AE49" i="2"/>
  <c r="AG49" i="2" s="1"/>
  <c r="AI49" i="2" s="1"/>
  <c r="AK49" i="2" s="1"/>
  <c r="AE53" i="2"/>
  <c r="AG53" i="2" s="1"/>
  <c r="AL53" i="2" s="1"/>
  <c r="AE57" i="2"/>
  <c r="AG57" i="2" s="1"/>
  <c r="AL57" i="2" s="1"/>
  <c r="AL62" i="2"/>
  <c r="AL66" i="2"/>
  <c r="AL70" i="2"/>
  <c r="AE101" i="2"/>
  <c r="AG101" i="2" s="1"/>
  <c r="AL101" i="2" s="1"/>
  <c r="AL110" i="2"/>
  <c r="AI114" i="2"/>
  <c r="AK114" i="2" s="1"/>
  <c r="AE5" i="2"/>
  <c r="AG5" i="2" s="1"/>
  <c r="AL5" i="2" s="1"/>
  <c r="AE9" i="2"/>
  <c r="AG9" i="2" s="1"/>
  <c r="AL9" i="2" s="1"/>
  <c r="AE13" i="2"/>
  <c r="AG13" i="2" s="1"/>
  <c r="AL13" i="2" s="1"/>
  <c r="AE17" i="2"/>
  <c r="AG17" i="2" s="1"/>
  <c r="AL17" i="2" s="1"/>
  <c r="AE21" i="2"/>
  <c r="AG21" i="2" s="1"/>
  <c r="AL21" i="2" s="1"/>
  <c r="AE25" i="2"/>
  <c r="AG25" i="2" s="1"/>
  <c r="AL25" i="2" s="1"/>
  <c r="AL30" i="2"/>
  <c r="AL34" i="2"/>
  <c r="AL38" i="2"/>
  <c r="AI46" i="2"/>
  <c r="AK46" i="2" s="1"/>
  <c r="AI50" i="2"/>
  <c r="AK50" i="2" s="1"/>
  <c r="AI54" i="2"/>
  <c r="AK54" i="2" s="1"/>
  <c r="AI58" i="2"/>
  <c r="AK58" i="2" s="1"/>
  <c r="AI102" i="2"/>
  <c r="AK102" i="2" s="1"/>
  <c r="AI106" i="2"/>
  <c r="AK106" i="2" s="1"/>
  <c r="AL118" i="2"/>
  <c r="AI122" i="2"/>
  <c r="AK122" i="2" s="1"/>
  <c r="AI6" i="2"/>
  <c r="AK6" i="2" s="1"/>
  <c r="AL10" i="2"/>
  <c r="AI18" i="2"/>
  <c r="AK18" i="2" s="1"/>
  <c r="AL27" i="2"/>
  <c r="AI27" i="2"/>
  <c r="AK27" i="2" s="1"/>
  <c r="AL61" i="2"/>
  <c r="AI61" i="2"/>
  <c r="AK61" i="2" s="1"/>
  <c r="AL65" i="2"/>
  <c r="AI65" i="2"/>
  <c r="AK65" i="2" s="1"/>
  <c r="AL73" i="2"/>
  <c r="AL7" i="2"/>
  <c r="AI45" i="2"/>
  <c r="AK45" i="2" s="1"/>
  <c r="AL49" i="2"/>
  <c r="AI101" i="2"/>
  <c r="AK101" i="2" s="1"/>
  <c r="AL8" i="2"/>
  <c r="AI8" i="2"/>
  <c r="AK8" i="2" s="1"/>
  <c r="AL16" i="2"/>
  <c r="AI16" i="2"/>
  <c r="AK16" i="2" s="1"/>
  <c r="AL20" i="2"/>
  <c r="AI20" i="2"/>
  <c r="AK20" i="2" s="1"/>
  <c r="AL33" i="2"/>
  <c r="AI33" i="2"/>
  <c r="AK33" i="2" s="1"/>
  <c r="AL37" i="2"/>
  <c r="AI37" i="2"/>
  <c r="AK37" i="2" s="1"/>
  <c r="AI41" i="2"/>
  <c r="AK41" i="2" s="1"/>
  <c r="AL59" i="2"/>
  <c r="AI59" i="2"/>
  <c r="AK59" i="2" s="1"/>
  <c r="AI5" i="2"/>
  <c r="AK5" i="2" s="1"/>
  <c r="AL43" i="2"/>
  <c r="AI43" i="2"/>
  <c r="AK43" i="2" s="1"/>
  <c r="S8" i="4"/>
  <c r="S13" i="4" s="1"/>
  <c r="T7" i="4"/>
  <c r="AI28" i="2"/>
  <c r="AK28" i="2" s="1"/>
  <c r="AL28" i="2"/>
  <c r="AI44" i="2"/>
  <c r="AK44" i="2" s="1"/>
  <c r="AL44" i="2"/>
  <c r="AL60" i="2"/>
  <c r="AI60" i="2"/>
  <c r="AK60" i="2" s="1"/>
  <c r="AE23" i="2"/>
  <c r="AG23" i="2" s="1"/>
  <c r="AI24" i="2"/>
  <c r="AK24" i="2" s="1"/>
  <c r="AL24" i="2"/>
  <c r="AE39" i="2"/>
  <c r="AG39" i="2" s="1"/>
  <c r="AI40" i="2"/>
  <c r="AK40" i="2" s="1"/>
  <c r="AL40" i="2"/>
  <c r="AE55" i="2"/>
  <c r="AG55" i="2" s="1"/>
  <c r="AL56" i="2"/>
  <c r="AI56" i="2"/>
  <c r="AK56" i="2" s="1"/>
  <c r="AE71" i="2"/>
  <c r="AG71" i="2" s="1"/>
  <c r="AL72" i="2"/>
  <c r="AI72" i="2"/>
  <c r="AK72" i="2" s="1"/>
  <c r="AI85" i="2"/>
  <c r="AK85" i="2" s="1"/>
  <c r="AL85" i="2"/>
  <c r="AI89" i="2"/>
  <c r="AK89" i="2" s="1"/>
  <c r="AL89" i="2"/>
  <c r="AI93" i="2"/>
  <c r="AK93" i="2" s="1"/>
  <c r="AL93" i="2"/>
  <c r="AI97" i="2"/>
  <c r="AK97" i="2" s="1"/>
  <c r="AL97" i="2"/>
  <c r="AE103" i="2"/>
  <c r="AG103" i="2" s="1"/>
  <c r="AI104" i="2"/>
  <c r="AK104" i="2" s="1"/>
  <c r="AL104" i="2"/>
  <c r="D8" i="4"/>
  <c r="D13" i="4" s="1"/>
  <c r="R6" i="4"/>
  <c r="J124" i="2"/>
  <c r="AA124" i="2"/>
  <c r="AE4" i="2"/>
  <c r="AE35" i="2"/>
  <c r="AG35" i="2" s="1"/>
  <c r="AI36" i="2"/>
  <c r="AK36" i="2" s="1"/>
  <c r="AL36" i="2"/>
  <c r="AE51" i="2"/>
  <c r="AG51" i="2" s="1"/>
  <c r="AI52" i="2"/>
  <c r="AK52" i="2" s="1"/>
  <c r="AL52" i="2"/>
  <c r="AE67" i="2"/>
  <c r="AG67" i="2" s="1"/>
  <c r="AI68" i="2"/>
  <c r="AK68" i="2" s="1"/>
  <c r="AL68" i="2"/>
  <c r="AB124" i="2"/>
  <c r="AH124" i="2"/>
  <c r="AM4" i="2"/>
  <c r="AL26" i="2"/>
  <c r="AE31" i="2"/>
  <c r="AG31" i="2" s="1"/>
  <c r="AI32" i="2"/>
  <c r="AK32" i="2" s="1"/>
  <c r="AL32" i="2"/>
  <c r="AL42" i="2"/>
  <c r="AE47" i="2"/>
  <c r="AG47" i="2" s="1"/>
  <c r="AI48" i="2"/>
  <c r="AK48" i="2" s="1"/>
  <c r="AL48" i="2"/>
  <c r="AL58" i="2"/>
  <c r="AE63" i="2"/>
  <c r="AG63" i="2" s="1"/>
  <c r="AL64" i="2"/>
  <c r="AI64" i="2"/>
  <c r="AK64" i="2" s="1"/>
  <c r="AI83" i="2"/>
  <c r="AK83" i="2" s="1"/>
  <c r="AL83" i="2"/>
  <c r="AI87" i="2"/>
  <c r="AK87" i="2" s="1"/>
  <c r="AL87" i="2"/>
  <c r="AI91" i="2"/>
  <c r="AK91" i="2" s="1"/>
  <c r="AL91" i="2"/>
  <c r="AI95" i="2"/>
  <c r="AK95" i="2" s="1"/>
  <c r="AL95" i="2"/>
  <c r="AI99" i="2"/>
  <c r="AL99" i="2"/>
  <c r="AE108" i="2"/>
  <c r="AG108" i="2" s="1"/>
  <c r="AE112" i="2"/>
  <c r="AG112" i="2" s="1"/>
  <c r="AE116" i="2"/>
  <c r="AG116" i="2" s="1"/>
  <c r="AE120" i="2"/>
  <c r="AG120" i="2" s="1"/>
  <c r="Q124" i="2"/>
  <c r="AE76" i="2"/>
  <c r="AG76" i="2" s="1"/>
  <c r="AE78" i="2"/>
  <c r="AG78" i="2" s="1"/>
  <c r="AE80" i="2"/>
  <c r="AG80" i="2" s="1"/>
  <c r="AE107" i="2"/>
  <c r="AG107" i="2" s="1"/>
  <c r="AE111" i="2"/>
  <c r="AG111" i="2" s="1"/>
  <c r="AE115" i="2"/>
  <c r="AG115" i="2" s="1"/>
  <c r="AE119" i="2"/>
  <c r="AG119" i="2" s="1"/>
  <c r="AE123" i="2"/>
  <c r="AG123" i="2" s="1"/>
  <c r="AF124" i="2"/>
  <c r="AC124" i="2"/>
  <c r="AE82" i="2"/>
  <c r="AG82" i="2" s="1"/>
  <c r="AE84" i="2"/>
  <c r="AG84" i="2" s="1"/>
  <c r="AE86" i="2"/>
  <c r="AG86" i="2" s="1"/>
  <c r="AE88" i="2"/>
  <c r="AG88" i="2" s="1"/>
  <c r="AE90" i="2"/>
  <c r="AG90" i="2" s="1"/>
  <c r="AE92" i="2"/>
  <c r="AG92" i="2" s="1"/>
  <c r="AE94" i="2"/>
  <c r="AG94" i="2" s="1"/>
  <c r="AE96" i="2"/>
  <c r="AG96" i="2" s="1"/>
  <c r="AE98" i="2"/>
  <c r="AG98" i="2" s="1"/>
  <c r="AE100" i="2"/>
  <c r="AG100" i="2" s="1"/>
  <c r="Z124" i="2"/>
  <c r="AD124" i="2"/>
  <c r="AE75" i="2"/>
  <c r="AG75" i="2" s="1"/>
  <c r="AE77" i="2"/>
  <c r="AG77" i="2" s="1"/>
  <c r="AE79" i="2"/>
  <c r="AG79" i="2" s="1"/>
  <c r="AE105" i="2"/>
  <c r="AG105" i="2" s="1"/>
  <c r="AE109" i="2"/>
  <c r="AG109" i="2" s="1"/>
  <c r="AE113" i="2"/>
  <c r="AG113" i="2" s="1"/>
  <c r="AE117" i="2"/>
  <c r="AG117" i="2" s="1"/>
  <c r="AE121" i="2"/>
  <c r="AG121" i="2" s="1"/>
  <c r="Y126" i="2"/>
  <c r="AI12" i="2" l="1"/>
  <c r="AK12" i="2" s="1"/>
  <c r="AI15" i="2"/>
  <c r="AK15" i="2" s="1"/>
  <c r="AI21" i="2"/>
  <c r="AK21" i="2" s="1"/>
  <c r="AI29" i="2"/>
  <c r="AK29" i="2" s="1"/>
  <c r="AI53" i="2"/>
  <c r="AK53" i="2" s="1"/>
  <c r="AI17" i="2"/>
  <c r="AK17" i="2" s="1"/>
  <c r="AI69" i="2"/>
  <c r="AK69" i="2" s="1"/>
  <c r="AL14" i="2"/>
  <c r="AI13" i="2"/>
  <c r="AK13" i="2" s="1"/>
  <c r="AI19" i="2"/>
  <c r="AK19" i="2" s="1"/>
  <c r="AI25" i="2"/>
  <c r="AK25" i="2" s="1"/>
  <c r="AI9" i="2"/>
  <c r="AK9" i="2" s="1"/>
  <c r="AI57" i="2"/>
  <c r="AK57" i="2" s="1"/>
  <c r="AI11" i="2"/>
  <c r="AK11" i="2" s="1"/>
  <c r="AI117" i="2"/>
  <c r="AK117" i="2" s="1"/>
  <c r="AL117" i="2"/>
  <c r="AI79" i="2"/>
  <c r="AK79" i="2" s="1"/>
  <c r="AL79" i="2"/>
  <c r="AI94" i="2"/>
  <c r="AK94" i="2" s="1"/>
  <c r="AL94" i="2"/>
  <c r="AI86" i="2"/>
  <c r="AK86" i="2" s="1"/>
  <c r="AL86" i="2"/>
  <c r="AI115" i="2"/>
  <c r="AK115" i="2" s="1"/>
  <c r="AL115" i="2"/>
  <c r="AI78" i="2"/>
  <c r="AK78" i="2" s="1"/>
  <c r="AL78" i="2"/>
  <c r="AI112" i="2"/>
  <c r="AK112" i="2" s="1"/>
  <c r="AL112" i="2"/>
  <c r="AL63" i="2"/>
  <c r="AI63" i="2"/>
  <c r="AK63" i="2" s="1"/>
  <c r="AL47" i="2"/>
  <c r="AI47" i="2"/>
  <c r="AK47" i="2" s="1"/>
  <c r="AL31" i="2"/>
  <c r="AI31" i="2"/>
  <c r="AK31" i="2" s="1"/>
  <c r="AL51" i="2"/>
  <c r="AI51" i="2"/>
  <c r="AK51" i="2" s="1"/>
  <c r="AG4" i="2"/>
  <c r="AE124" i="2"/>
  <c r="AL39" i="2"/>
  <c r="AI39" i="2"/>
  <c r="AK39" i="2" s="1"/>
  <c r="AI109" i="2"/>
  <c r="AK109" i="2" s="1"/>
  <c r="AL109" i="2"/>
  <c r="AI75" i="2"/>
  <c r="AK75" i="2" s="1"/>
  <c r="AL75" i="2"/>
  <c r="AI98" i="2"/>
  <c r="AK98" i="2" s="1"/>
  <c r="AL98" i="2"/>
  <c r="AI90" i="2"/>
  <c r="AK90" i="2" s="1"/>
  <c r="AL90" i="2"/>
  <c r="AI82" i="2"/>
  <c r="AK82" i="2" s="1"/>
  <c r="AL82" i="2"/>
  <c r="AI123" i="2"/>
  <c r="AK123" i="2" s="1"/>
  <c r="AL123" i="2"/>
  <c r="AI107" i="2"/>
  <c r="AK107" i="2" s="1"/>
  <c r="AL107" i="2"/>
  <c r="AI120" i="2"/>
  <c r="AK120" i="2" s="1"/>
  <c r="AL120" i="2"/>
  <c r="AL71" i="2"/>
  <c r="AI71" i="2"/>
  <c r="AK71" i="2" s="1"/>
  <c r="AI121" i="2"/>
  <c r="AK121" i="2" s="1"/>
  <c r="AL121" i="2"/>
  <c r="AI105" i="2"/>
  <c r="AK105" i="2" s="1"/>
  <c r="AL105" i="2"/>
  <c r="AI96" i="2"/>
  <c r="AK96" i="2" s="1"/>
  <c r="AL96" i="2"/>
  <c r="AI88" i="2"/>
  <c r="AK88" i="2" s="1"/>
  <c r="AL88" i="2"/>
  <c r="AI119" i="2"/>
  <c r="AK119" i="2" s="1"/>
  <c r="AL119" i="2"/>
  <c r="AI80" i="2"/>
  <c r="AK80" i="2" s="1"/>
  <c r="AL80" i="2"/>
  <c r="AI116" i="2"/>
  <c r="AK116" i="2" s="1"/>
  <c r="AL116" i="2"/>
  <c r="AL35" i="2"/>
  <c r="AI35" i="2"/>
  <c r="AK35" i="2" s="1"/>
  <c r="T6" i="4"/>
  <c r="R8" i="4"/>
  <c r="AL103" i="2"/>
  <c r="AI103" i="2"/>
  <c r="AK103" i="2" s="1"/>
  <c r="AL23" i="2"/>
  <c r="AI23" i="2"/>
  <c r="AK23" i="2" s="1"/>
  <c r="AI113" i="2"/>
  <c r="AK113" i="2" s="1"/>
  <c r="AL113" i="2"/>
  <c r="AI77" i="2"/>
  <c r="AK77" i="2" s="1"/>
  <c r="AL77" i="2"/>
  <c r="AI100" i="2"/>
  <c r="AK99" i="2" s="1"/>
  <c r="AL100" i="2"/>
  <c r="AI92" i="2"/>
  <c r="AK92" i="2" s="1"/>
  <c r="AL92" i="2"/>
  <c r="AI84" i="2"/>
  <c r="AK84" i="2" s="1"/>
  <c r="AL84" i="2"/>
  <c r="AI111" i="2"/>
  <c r="AK111" i="2" s="1"/>
  <c r="AL111" i="2"/>
  <c r="AI76" i="2"/>
  <c r="AK76" i="2" s="1"/>
  <c r="AL76" i="2"/>
  <c r="AI108" i="2"/>
  <c r="AK108" i="2" s="1"/>
  <c r="AL108" i="2"/>
  <c r="AL67" i="2"/>
  <c r="AI67" i="2"/>
  <c r="AK67" i="2" s="1"/>
  <c r="AL55" i="2"/>
  <c r="AI55" i="2"/>
  <c r="AK55" i="2" s="1"/>
  <c r="AG124" i="2" l="1"/>
  <c r="AL4" i="2"/>
  <c r="AI4" i="2"/>
  <c r="T8" i="4"/>
  <c r="T13" i="4" s="1"/>
  <c r="R13" i="4"/>
  <c r="AK4" i="2" l="1"/>
  <c r="AI124" i="2"/>
  <c r="AK124" i="2" s="1"/>
</calcChain>
</file>

<file path=xl/comments1.xml><?xml version="1.0" encoding="utf-8"?>
<comments xmlns="http://schemas.openxmlformats.org/spreadsheetml/2006/main">
  <authors>
    <author>Batdolgor Chuluun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only for the logistics office needs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Office supplies </t>
        </r>
      </text>
    </comment>
  </commentList>
</comments>
</file>

<file path=xl/comments2.xml><?xml version="1.0" encoding="utf-8"?>
<comments xmlns="http://schemas.openxmlformats.org/spreadsheetml/2006/main">
  <authors>
    <author>Nurana Sadikhova</author>
  </authors>
  <commentList>
    <comment ref="S5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AFG requested $18K more for the maintenance of UNDSS accomodation which will be replenished by income generated by renting out the unit</t>
        </r>
      </text>
    </comment>
    <comment ref="W5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AFG included $29K request, but recommend $17K based on their exp-s and ending 2014 ASL</t>
        </r>
      </text>
    </comment>
    <comment ref="S25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As per message from RSA on the increase of office space and costs</t>
        </r>
      </text>
    </comment>
    <comment ref="AB25" authorId="0">
      <text>
        <r>
          <rPr>
            <b/>
            <sz val="9"/>
            <color indexed="81"/>
            <rFont val="Tahoma"/>
            <charset val="1"/>
          </rPr>
          <t>Nurana Sadikhova:</t>
        </r>
        <r>
          <rPr>
            <sz val="9"/>
            <color indexed="81"/>
            <rFont val="Tahoma"/>
            <charset val="1"/>
          </rPr>
          <t xml:space="preserve">
to include cost of insurance for 2 vehicles</t>
        </r>
      </text>
    </comment>
    <comment ref="W26" authorId="0">
      <text>
        <r>
          <rPr>
            <b/>
            <sz val="9"/>
            <color indexed="81"/>
            <rFont val="Tahoma"/>
            <charset val="1"/>
          </rPr>
          <t>Nurana Sadikhova:</t>
        </r>
        <r>
          <rPr>
            <sz val="9"/>
            <color indexed="81"/>
            <rFont val="Tahoma"/>
            <charset val="1"/>
          </rPr>
          <t xml:space="preserve">
add'l $52,200 required for in-country shipping and delivery of vehicles shipped from Dubai</t>
        </r>
      </text>
    </comment>
    <comment ref="AA26" authorId="0">
      <text>
        <r>
          <rPr>
            <b/>
            <sz val="9"/>
            <color indexed="81"/>
            <rFont val="Tahoma"/>
            <charset val="1"/>
          </rPr>
          <t>Nurana Sadikhova:</t>
        </r>
        <r>
          <rPr>
            <sz val="9"/>
            <color indexed="81"/>
            <rFont val="Tahoma"/>
            <charset val="1"/>
          </rPr>
          <t xml:space="preserve">
add'l $19,000 for replacing IT equipment</t>
        </r>
      </text>
    </comment>
    <comment ref="Y34" authorId="0">
      <text>
        <r>
          <rPr>
            <b/>
            <sz val="9"/>
            <color indexed="81"/>
            <rFont val="Tahoma"/>
            <charset val="1"/>
          </rPr>
          <t>Nurana Sadikhova:</t>
        </r>
        <r>
          <rPr>
            <sz val="9"/>
            <color indexed="81"/>
            <rFont val="Tahoma"/>
            <charset val="1"/>
          </rPr>
          <t xml:space="preserve">
requested funds for the purchase of 2 trauma bag</t>
        </r>
      </text>
    </comment>
    <comment ref="S35" authorId="0">
      <text>
        <r>
          <rPr>
            <b/>
            <sz val="9"/>
            <color indexed="81"/>
            <rFont val="Tahoma"/>
            <charset val="1"/>
          </rPr>
          <t>Nurana Sadikhova:</t>
        </r>
        <r>
          <rPr>
            <sz val="9"/>
            <color indexed="81"/>
            <rFont val="Tahoma"/>
            <charset val="1"/>
          </rPr>
          <t xml:space="preserve">
Request for increase by SA</t>
        </r>
      </text>
    </comment>
    <comment ref="AA63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requested desktop replacement and sent quote for $1350</t>
        </r>
      </text>
    </comment>
    <comment ref="W86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40K recurrent + 55K one-time for AV repairs</t>
        </r>
      </text>
    </comment>
    <comment ref="U90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TRIP Helpdesk - initially approved for 6 months only</t>
        </r>
      </text>
    </comment>
    <comment ref="U117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TRIP Helpdesk</t>
        </r>
      </text>
    </comment>
    <comment ref="S124" authorId="0">
      <text>
        <r>
          <rPr>
            <b/>
            <sz val="9"/>
            <color indexed="81"/>
            <rFont val="Tahoma"/>
            <family val="2"/>
          </rPr>
          <t>Nurana Sadikhova:</t>
        </r>
        <r>
          <rPr>
            <sz val="9"/>
            <color indexed="81"/>
            <rFont val="Tahoma"/>
            <family val="2"/>
          </rPr>
          <t xml:space="preserve">
increase for rent as per common shared budget submitted by SA</t>
        </r>
      </text>
    </comment>
  </commentList>
</comments>
</file>

<file path=xl/sharedStrings.xml><?xml version="1.0" encoding="utf-8"?>
<sst xmlns="http://schemas.openxmlformats.org/spreadsheetml/2006/main" count="2107" uniqueCount="617">
  <si>
    <t>IP</t>
  </si>
  <si>
    <t>LL</t>
  </si>
  <si>
    <t>A -STAFF &amp; COMMON STAFF COSTS</t>
  </si>
  <si>
    <t>B- GENERAL OPERATING EXPENSES (GOE)</t>
  </si>
  <si>
    <t>Total "A"</t>
  </si>
  <si>
    <t>Total "B"</t>
  </si>
  <si>
    <t>010</t>
  </si>
  <si>
    <t>050</t>
  </si>
  <si>
    <t>B-dept</t>
  </si>
  <si>
    <t>Posts
(FCSO)</t>
  </si>
  <si>
    <t>Posts
(LL)</t>
  </si>
  <si>
    <t>Overtime &amp; night differential</t>
  </si>
  <si>
    <t>Other official travel of staff</t>
  </si>
  <si>
    <t>Miscellaneous services</t>
  </si>
  <si>
    <t>Supplies and materials</t>
  </si>
  <si>
    <t>Data processing equipment</t>
  </si>
  <si>
    <t>STAFF COSTS</t>
  </si>
  <si>
    <t>GOE</t>
  </si>
  <si>
    <t>Total per Country</t>
  </si>
  <si>
    <t>BUDGET CATEGORY</t>
  </si>
  <si>
    <t>6X300</t>
  </si>
  <si>
    <t>6X200</t>
  </si>
  <si>
    <t>AFG</t>
  </si>
  <si>
    <t>Afghanistan - Kabul</t>
  </si>
  <si>
    <t>B0390</t>
  </si>
  <si>
    <t>ALB</t>
  </si>
  <si>
    <t>Albania - Tirana</t>
  </si>
  <si>
    <t>B0532</t>
  </si>
  <si>
    <t>Algeria - Algiers</t>
  </si>
  <si>
    <t>B0442</t>
  </si>
  <si>
    <t>Angola - Luanda</t>
  </si>
  <si>
    <t>B0300</t>
  </si>
  <si>
    <t>ARG</t>
  </si>
  <si>
    <t>Argentina - Buenos Aires</t>
  </si>
  <si>
    <t>B0480</t>
  </si>
  <si>
    <t>ARM</t>
  </si>
  <si>
    <t>Armenia - Yerevan</t>
  </si>
  <si>
    <t>B0534</t>
  </si>
  <si>
    <t>AZE</t>
  </si>
  <si>
    <t>Azerbaijan - Baku</t>
  </si>
  <si>
    <t>B0538</t>
  </si>
  <si>
    <t>BGD</t>
  </si>
  <si>
    <t>Bangladesh - Dhaka</t>
  </si>
  <si>
    <t>B0392</t>
  </si>
  <si>
    <t>BEN</t>
  </si>
  <si>
    <t>Benin - Cotonou</t>
  </si>
  <si>
    <t>B0302</t>
  </si>
  <si>
    <t>BOL</t>
  </si>
  <si>
    <t>Bolivia - La Paz</t>
  </si>
  <si>
    <t>B0486</t>
  </si>
  <si>
    <t>BIH</t>
  </si>
  <si>
    <t>Bosnia &amp; Herzegovina- Sarajevo</t>
  </si>
  <si>
    <t>B0542</t>
  </si>
  <si>
    <t>Botswana - Gaborone</t>
  </si>
  <si>
    <t>B0304</t>
  </si>
  <si>
    <t>BRA</t>
  </si>
  <si>
    <t>Brazil - Brasilia</t>
  </si>
  <si>
    <t>B0488</t>
  </si>
  <si>
    <t>Burkina Faso - Ouagadougou</t>
  </si>
  <si>
    <t>B0306</t>
  </si>
  <si>
    <t>BDI</t>
  </si>
  <si>
    <t>Burundi - Bujumbura</t>
  </si>
  <si>
    <t>B0308</t>
  </si>
  <si>
    <t>Cambodia - Phnom-Penh</t>
  </si>
  <si>
    <t>B0396</t>
  </si>
  <si>
    <t>CMR</t>
  </si>
  <si>
    <t>Cameroon - Yaounde</t>
  </si>
  <si>
    <t>B0310</t>
  </si>
  <si>
    <t>CAF</t>
  </si>
  <si>
    <t>Central African Republic</t>
  </si>
  <si>
    <t>B0314</t>
  </si>
  <si>
    <t>Chad - N'Djamena</t>
  </si>
  <si>
    <t>B0316</t>
  </si>
  <si>
    <t>Chile - Santiago</t>
  </si>
  <si>
    <t>B0490</t>
  </si>
  <si>
    <t>China - Beijing</t>
  </si>
  <si>
    <t>B0398</t>
  </si>
  <si>
    <t>COL</t>
  </si>
  <si>
    <t>Colombia - Bogota</t>
  </si>
  <si>
    <t>B0492</t>
  </si>
  <si>
    <t>Comoros - Moroni</t>
  </si>
  <si>
    <t>B0318</t>
  </si>
  <si>
    <t>Congo - Brazzaville</t>
  </si>
  <si>
    <t>B0320</t>
  </si>
  <si>
    <t>Cote D'Ivoire - Abidjan</t>
  </si>
  <si>
    <t>B0322</t>
  </si>
  <si>
    <t>Dem. Rep. of the Congo</t>
  </si>
  <si>
    <t>B0324</t>
  </si>
  <si>
    <t>DJI</t>
  </si>
  <si>
    <t>Djibouti - Djibouti</t>
  </si>
  <si>
    <t>B0446</t>
  </si>
  <si>
    <t>DOM</t>
  </si>
  <si>
    <t>Dominican Republic</t>
  </si>
  <si>
    <t>B0498</t>
  </si>
  <si>
    <t>East Timor</t>
  </si>
  <si>
    <t>B0402</t>
  </si>
  <si>
    <t>ECU</t>
  </si>
  <si>
    <t>Ecuador - Quito</t>
  </si>
  <si>
    <t>B0500</t>
  </si>
  <si>
    <t>EGY</t>
  </si>
  <si>
    <t>Egypt - Cairo</t>
  </si>
  <si>
    <t>B0448</t>
  </si>
  <si>
    <t>El Salvador - San Salvador</t>
  </si>
  <si>
    <t>B0502</t>
  </si>
  <si>
    <t>Equatorial Guinea - Malabo</t>
  </si>
  <si>
    <t>B0326</t>
  </si>
  <si>
    <t>ERI</t>
  </si>
  <si>
    <t>Eritrea - Asmara</t>
  </si>
  <si>
    <t>B0328</t>
  </si>
  <si>
    <t>ETH</t>
  </si>
  <si>
    <t>Ethiopia - Addis Ababa</t>
  </si>
  <si>
    <t>B0330</t>
  </si>
  <si>
    <t>Fiji - Suva</t>
  </si>
  <si>
    <t>B0404</t>
  </si>
  <si>
    <t>GAB</t>
  </si>
  <si>
    <t>Gabon - Libreville</t>
  </si>
  <si>
    <t>B0332</t>
  </si>
  <si>
    <t>Gambia - Banjul</t>
  </si>
  <si>
    <t>B0334</t>
  </si>
  <si>
    <t>GEO</t>
  </si>
  <si>
    <t>Georgia - Tbilisi</t>
  </si>
  <si>
    <t>B0550</t>
  </si>
  <si>
    <t>GHA</t>
  </si>
  <si>
    <t>B0336</t>
  </si>
  <si>
    <t>Guatemala - Guatemala City</t>
  </si>
  <si>
    <t>B0504</t>
  </si>
  <si>
    <t>Guinea - Conakry</t>
  </si>
  <si>
    <t>B0338</t>
  </si>
  <si>
    <t>Guinea-Bissau</t>
  </si>
  <si>
    <t>B0340</t>
  </si>
  <si>
    <t>GUY</t>
  </si>
  <si>
    <t>Guyana - Georgetown</t>
  </si>
  <si>
    <t>B0506</t>
  </si>
  <si>
    <t>Haiti - Port-au-Prince</t>
  </si>
  <si>
    <t>B0508</t>
  </si>
  <si>
    <t>Honduras - Tegucigalpa</t>
  </si>
  <si>
    <t>B0510</t>
  </si>
  <si>
    <t>IND</t>
  </si>
  <si>
    <t>India - New Delhi</t>
  </si>
  <si>
    <t>B0406</t>
  </si>
  <si>
    <t>Indonesia - Jakarta</t>
  </si>
  <si>
    <t>B0408</t>
  </si>
  <si>
    <t>Iran - Teheran</t>
  </si>
  <si>
    <t>B0410</t>
  </si>
  <si>
    <t>IRQ</t>
  </si>
  <si>
    <t>Iraq -  Baghdad</t>
  </si>
  <si>
    <t>B0450</t>
  </si>
  <si>
    <t>ISR</t>
  </si>
  <si>
    <t>PAPP</t>
  </si>
  <si>
    <t>B0700</t>
  </si>
  <si>
    <t>JAM</t>
  </si>
  <si>
    <t>Jamaica - Kingston</t>
  </si>
  <si>
    <t>B0512</t>
  </si>
  <si>
    <t>JOR</t>
  </si>
  <si>
    <t>Jordan - Amman</t>
  </si>
  <si>
    <t>B0452</t>
  </si>
  <si>
    <t>KAZ</t>
  </si>
  <si>
    <t>Kazakhstan - Alma Ata</t>
  </si>
  <si>
    <t>B0552</t>
  </si>
  <si>
    <t>Kosovo - Pristina</t>
  </si>
  <si>
    <t>B0554</t>
  </si>
  <si>
    <t>KEN</t>
  </si>
  <si>
    <t>Kenya - Nairobi</t>
  </si>
  <si>
    <t>B0342</t>
  </si>
  <si>
    <t>Kuwait - Kuwait</t>
  </si>
  <si>
    <t>B0454</t>
  </si>
  <si>
    <t>Kyrgyzstan - Bishkek</t>
  </si>
  <si>
    <t>B0556</t>
  </si>
  <si>
    <t>LAO</t>
  </si>
  <si>
    <t>Lao - Vientiane</t>
  </si>
  <si>
    <t>B0412</t>
  </si>
  <si>
    <t>Lebanon - Beirut</t>
  </si>
  <si>
    <t>B0456</t>
  </si>
  <si>
    <t>Lesotho - Maseru</t>
  </si>
  <si>
    <t>B0344</t>
  </si>
  <si>
    <t>Liberia - Monrovia</t>
  </si>
  <si>
    <t>B0346</t>
  </si>
  <si>
    <t>Libyan Arab Jamahiriya</t>
  </si>
  <si>
    <t>Macedonia</t>
  </si>
  <si>
    <t>B0562</t>
  </si>
  <si>
    <t>Madagascar - Antananarivo</t>
  </si>
  <si>
    <t>B0348</t>
  </si>
  <si>
    <t>Malawi - Lilongwe</t>
  </si>
  <si>
    <t>B0350</t>
  </si>
  <si>
    <t>Malaysia - Kuala Lumpur</t>
  </si>
  <si>
    <t>B0414</t>
  </si>
  <si>
    <t>MLI</t>
  </si>
  <si>
    <t>Mali - Bamako</t>
  </si>
  <si>
    <t>B0352</t>
  </si>
  <si>
    <t>Mauritania - Nouakchott</t>
  </si>
  <si>
    <t>B0354</t>
  </si>
  <si>
    <t>MEX</t>
  </si>
  <si>
    <t>Mexico - Mexico City</t>
  </si>
  <si>
    <t>B0514</t>
  </si>
  <si>
    <t>Mongolia -Ulaan Baatar</t>
  </si>
  <si>
    <t>B0418</t>
  </si>
  <si>
    <t>Morocco - Rabat</t>
  </si>
  <si>
    <t>B0460</t>
  </si>
  <si>
    <t>MOZ</t>
  </si>
  <si>
    <t>Mozambique - Maputo</t>
  </si>
  <si>
    <t>B0358</t>
  </si>
  <si>
    <t>Myanmar - Yangon</t>
  </si>
  <si>
    <t>B0420</t>
  </si>
  <si>
    <t>NAM</t>
  </si>
  <si>
    <t>Namibia - Windhoek</t>
  </si>
  <si>
    <t>B0360</t>
  </si>
  <si>
    <t>Nepal - Kathmandu</t>
  </si>
  <si>
    <t>B0422</t>
  </si>
  <si>
    <t>NIC</t>
  </si>
  <si>
    <t>Nicaragua - Managua</t>
  </si>
  <si>
    <t>B0516</t>
  </si>
  <si>
    <t>NER</t>
  </si>
  <si>
    <t>Niger - Niamey</t>
  </si>
  <si>
    <t>B0362</t>
  </si>
  <si>
    <t>Nigeria - Lagos</t>
  </si>
  <si>
    <t>B0364</t>
  </si>
  <si>
    <t>PAK</t>
  </si>
  <si>
    <t>Pakistan - Islamabad</t>
  </si>
  <si>
    <t>B0424</t>
  </si>
  <si>
    <t>PAN</t>
  </si>
  <si>
    <t>Panama - Panama City</t>
  </si>
  <si>
    <t>B0518</t>
  </si>
  <si>
    <t>PNG</t>
  </si>
  <si>
    <t>Papua New Guinea- Port Moresby</t>
  </si>
  <si>
    <t>B0426</t>
  </si>
  <si>
    <t>PER</t>
  </si>
  <si>
    <t>Peru - Lima</t>
  </si>
  <si>
    <t>B0522</t>
  </si>
  <si>
    <t>Philippines - Manila</t>
  </si>
  <si>
    <t>B0428</t>
  </si>
  <si>
    <t>RUS</t>
  </si>
  <si>
    <t>Russian Federation - Moscow</t>
  </si>
  <si>
    <t>B0572</t>
  </si>
  <si>
    <t>RWA</t>
  </si>
  <si>
    <t>Rwanda - Kigali</t>
  </si>
  <si>
    <t>B0366</t>
  </si>
  <si>
    <t>Samoa - Apia</t>
  </si>
  <si>
    <t>B0432</t>
  </si>
  <si>
    <t>SAU</t>
  </si>
  <si>
    <t>Saudi ArAB2</t>
  </si>
  <si>
    <t>B0466</t>
  </si>
  <si>
    <t>SEN</t>
  </si>
  <si>
    <t>Senegal - Dakar</t>
  </si>
  <si>
    <t>B0370</t>
  </si>
  <si>
    <t>Serbia - Belgrade</t>
  </si>
  <si>
    <t>B0586</t>
  </si>
  <si>
    <t>Sierra Leone - Freetown</t>
  </si>
  <si>
    <t>B0372</t>
  </si>
  <si>
    <t>SOM</t>
  </si>
  <si>
    <t>Somalia - Mogadiscio</t>
  </si>
  <si>
    <t>B0468</t>
  </si>
  <si>
    <t>South Africa - Pretoria</t>
  </si>
  <si>
    <t>B0374</t>
  </si>
  <si>
    <t>Sri Lanka - Colombo</t>
  </si>
  <si>
    <t>B0434</t>
  </si>
  <si>
    <t>Sudan - Khartoum</t>
  </si>
  <si>
    <t>B0470</t>
  </si>
  <si>
    <t>Swaziland - Mbabane</t>
  </si>
  <si>
    <t>B0376</t>
  </si>
  <si>
    <t>SYR</t>
  </si>
  <si>
    <t>Syrian ArAB2</t>
  </si>
  <si>
    <t>B0472</t>
  </si>
  <si>
    <t>Tajikstan - Dushanbe</t>
  </si>
  <si>
    <t>B0576</t>
  </si>
  <si>
    <t>United Republic of Tanzania</t>
  </si>
  <si>
    <t>B0382</t>
  </si>
  <si>
    <t>THA</t>
  </si>
  <si>
    <t>Thailand - Bangkok</t>
  </si>
  <si>
    <t>B0436</t>
  </si>
  <si>
    <t>Togo - Lome</t>
  </si>
  <si>
    <t>B0378</t>
  </si>
  <si>
    <t>TUN</t>
  </si>
  <si>
    <t>Tunisia - Tunis</t>
  </si>
  <si>
    <t>B0474</t>
  </si>
  <si>
    <t>TUR</t>
  </si>
  <si>
    <t>Turkey - Ankara</t>
  </si>
  <si>
    <t>B0578</t>
  </si>
  <si>
    <t>Turkmenistan - Ashgabad</t>
  </si>
  <si>
    <t>B0580</t>
  </si>
  <si>
    <t>UGA</t>
  </si>
  <si>
    <t>Uganda - Kampala</t>
  </si>
  <si>
    <t>B0380</t>
  </si>
  <si>
    <t>UKR</t>
  </si>
  <si>
    <t>Ukraine - Kiev</t>
  </si>
  <si>
    <t>B0582</t>
  </si>
  <si>
    <t>United Arab Emirates - Abu Dhabi</t>
  </si>
  <si>
    <t>B0476</t>
  </si>
  <si>
    <t>UZB</t>
  </si>
  <si>
    <t>Uzbekistan - Tashkent</t>
  </si>
  <si>
    <t>B0584</t>
  </si>
  <si>
    <t>VEN</t>
  </si>
  <si>
    <t>Venezuela - Caracas</t>
  </si>
  <si>
    <t>B0528</t>
  </si>
  <si>
    <t>Vietnam - Hanoi</t>
  </si>
  <si>
    <t>B0438</t>
  </si>
  <si>
    <t>YEM</t>
  </si>
  <si>
    <t>Republic of Yemen - Sana'a</t>
  </si>
  <si>
    <t>B0464</t>
  </si>
  <si>
    <t>Zambia - Lusaka</t>
  </si>
  <si>
    <t>B0384</t>
  </si>
  <si>
    <t>Zimbabwe - Harare</t>
  </si>
  <si>
    <t>B0386</t>
  </si>
  <si>
    <t>Rent &amp; utilities premises</t>
  </si>
  <si>
    <t>B_dept</t>
  </si>
  <si>
    <t>P5</t>
  </si>
  <si>
    <t>P4</t>
  </si>
  <si>
    <t>P3</t>
  </si>
  <si>
    <t>P2</t>
  </si>
  <si>
    <t>P-3</t>
  </si>
  <si>
    <t>P-2</t>
  </si>
  <si>
    <t>Total IP</t>
  </si>
  <si>
    <t>Serbia</t>
  </si>
  <si>
    <t>KOS</t>
  </si>
  <si>
    <t>Kosovo</t>
  </si>
  <si>
    <t>Maintenance of furniture and equipment</t>
  </si>
  <si>
    <t xml:space="preserve">Office furniture &amp; equipment </t>
  </si>
  <si>
    <t>Communications &amp; comm equipment</t>
  </si>
  <si>
    <t>Ghana - Accra</t>
  </si>
  <si>
    <t>Logistics Office Dubai</t>
  </si>
  <si>
    <t>Office expenditures</t>
  </si>
  <si>
    <t>Transp,Land &amp; Shipment</t>
  </si>
  <si>
    <t>Subtotal for Logistics Office</t>
  </si>
  <si>
    <t>IT HELP DESK</t>
  </si>
  <si>
    <t>Grand Total</t>
  </si>
  <si>
    <t>Service Contract</t>
  </si>
  <si>
    <t>71400 or 71300</t>
  </si>
  <si>
    <t>By DRO</t>
  </si>
  <si>
    <t>ASIA/PACIFIC</t>
  </si>
  <si>
    <t>EUROPE/AMERICAS</t>
  </si>
  <si>
    <t>MIDDLE EAST</t>
  </si>
  <si>
    <t>General Operating Expenses</t>
  </si>
  <si>
    <t>Staff costs</t>
  </si>
  <si>
    <t>7xxxx</t>
  </si>
  <si>
    <t>6xxxx</t>
  </si>
  <si>
    <t>LBY</t>
  </si>
  <si>
    <t>B0458</t>
  </si>
  <si>
    <t>SRB</t>
  </si>
  <si>
    <t xml:space="preserve">FSCO  Office </t>
  </si>
  <si>
    <t>G6</t>
  </si>
  <si>
    <t>POSS</t>
  </si>
  <si>
    <t>Total</t>
  </si>
  <si>
    <t>Trinidad &amp; Tobago</t>
  </si>
  <si>
    <t>TTO</t>
  </si>
  <si>
    <t>B0524</t>
  </si>
  <si>
    <t>B0494</t>
  </si>
  <si>
    <t>B0564</t>
  </si>
  <si>
    <t>B0526</t>
  </si>
  <si>
    <t>Notes</t>
  </si>
  <si>
    <t>International Professional Posts</t>
  </si>
  <si>
    <t>P-4*</t>
  </si>
  <si>
    <t>Sudan - Juba</t>
  </si>
  <si>
    <t>B0471</t>
  </si>
  <si>
    <t>Sudan - Darfur</t>
  </si>
  <si>
    <t>South Sudan</t>
  </si>
  <si>
    <t>Israel/West bank/Gaza</t>
  </si>
  <si>
    <t>Bosnia &amp; Herzegovina</t>
  </si>
  <si>
    <t>General Service Support Posts</t>
  </si>
  <si>
    <t>New York</t>
  </si>
  <si>
    <t>B0780</t>
  </si>
  <si>
    <t>USA</t>
  </si>
  <si>
    <t>72300/72311</t>
  </si>
  <si>
    <t xml:space="preserve">Fuel </t>
  </si>
  <si>
    <t>D1</t>
  </si>
  <si>
    <t>AGO</t>
  </si>
  <si>
    <t>BWA</t>
  </si>
  <si>
    <t>BFA</t>
  </si>
  <si>
    <t>TCD</t>
  </si>
  <si>
    <t>COM</t>
  </si>
  <si>
    <t>COG</t>
  </si>
  <si>
    <t>CIV</t>
  </si>
  <si>
    <t>COD</t>
  </si>
  <si>
    <t>GNQ</t>
  </si>
  <si>
    <t>GMB</t>
  </si>
  <si>
    <t>GIN</t>
  </si>
  <si>
    <t>GNB</t>
  </si>
  <si>
    <t>LSO</t>
  </si>
  <si>
    <t>LBR</t>
  </si>
  <si>
    <t>MDG</t>
  </si>
  <si>
    <t>MWI</t>
  </si>
  <si>
    <t>MRT</t>
  </si>
  <si>
    <t>NGA</t>
  </si>
  <si>
    <t>SLE</t>
  </si>
  <si>
    <t>ZAF</t>
  </si>
  <si>
    <t>SWZ</t>
  </si>
  <si>
    <t>TGO</t>
  </si>
  <si>
    <t>TZA</t>
  </si>
  <si>
    <t>ZMB</t>
  </si>
  <si>
    <t>ZWE</t>
  </si>
  <si>
    <t>KHM</t>
  </si>
  <si>
    <t>CHN</t>
  </si>
  <si>
    <t>TLS</t>
  </si>
  <si>
    <t>FJI</t>
  </si>
  <si>
    <t>IDN</t>
  </si>
  <si>
    <t>IRN</t>
  </si>
  <si>
    <t>MYS</t>
  </si>
  <si>
    <t>MNG</t>
  </si>
  <si>
    <t>MMR</t>
  </si>
  <si>
    <t>NPL</t>
  </si>
  <si>
    <t>PHL</t>
  </si>
  <si>
    <t>WSM</t>
  </si>
  <si>
    <t>LKA</t>
  </si>
  <si>
    <t>VNM</t>
  </si>
  <si>
    <t>DZA</t>
  </si>
  <si>
    <t>KWT</t>
  </si>
  <si>
    <t>LBN</t>
  </si>
  <si>
    <t>MAR</t>
  </si>
  <si>
    <t>SDN</t>
  </si>
  <si>
    <t>SSD</t>
  </si>
  <si>
    <t>ARE</t>
  </si>
  <si>
    <t>CHL</t>
  </si>
  <si>
    <t>SLV</t>
  </si>
  <si>
    <t>GTM</t>
  </si>
  <si>
    <t>HTI</t>
  </si>
  <si>
    <t>HND</t>
  </si>
  <si>
    <t>BHR</t>
  </si>
  <si>
    <t>KGZ</t>
  </si>
  <si>
    <t>MKD</t>
  </si>
  <si>
    <t>TJK</t>
  </si>
  <si>
    <t>TKM</t>
  </si>
  <si>
    <t>2012 ASL</t>
  </si>
  <si>
    <t>Costa Rica - San Jose</t>
  </si>
  <si>
    <t>CRI</t>
  </si>
  <si>
    <t>/a - As per pro forma costs issued by the Office of Planning and Budgeting on 27 November without IPSAS accruals</t>
  </si>
  <si>
    <t>Africa</t>
  </si>
  <si>
    <t>Costa Rica -San Jose</t>
  </si>
  <si>
    <t>GS</t>
  </si>
  <si>
    <t>POST DISTRIBUTION</t>
  </si>
  <si>
    <t>6X300 International Posts
(FCSO)</t>
  </si>
  <si>
    <t>6X200 General Service Posts
(LL)</t>
  </si>
  <si>
    <t>77200 Temporary Appointment</t>
  </si>
  <si>
    <t>66100  Overtime &amp; night differential</t>
  </si>
  <si>
    <t>71600 Other official travel of staff</t>
  </si>
  <si>
    <t>73100 Rent &amp; utilities premises</t>
  </si>
  <si>
    <t>73200 Premises Alteration</t>
  </si>
  <si>
    <t>71400 Help desk SCs</t>
  </si>
  <si>
    <t>72400 Communications &amp; comm equipment</t>
  </si>
  <si>
    <t>73400 Maintenance of furniture and equipment (vehicle maint, garage &amp; parking)</t>
  </si>
  <si>
    <t>72300 Materials &amp; Goods (Only for land transportation fuel-72311)</t>
  </si>
  <si>
    <t>72500 Supplies and materials (stationary, subscriptions)</t>
  </si>
  <si>
    <t xml:space="preserve">72200 Office furniture &amp; equipment </t>
  </si>
  <si>
    <t>72800 Data processing equipment, IT supplies, MS licenses</t>
  </si>
  <si>
    <t>74500  Miscellaneous services (bank charges, insurance, sundry, storage)</t>
  </si>
  <si>
    <t>Country Office</t>
  </si>
  <si>
    <t>BUDGET department</t>
  </si>
  <si>
    <t>Approved Post and Budget Data</t>
  </si>
  <si>
    <t xml:space="preserve"> 77200 Temporary Appointment</t>
  </si>
  <si>
    <t xml:space="preserve">DEPARTMENT OF SAFETY &amp; SECURITY </t>
  </si>
  <si>
    <t>select your office from dropdown list</t>
  </si>
  <si>
    <t xml:space="preserve">  D1</t>
  </si>
  <si>
    <t xml:space="preserve">  P5</t>
  </si>
  <si>
    <t xml:space="preserve">  P4</t>
  </si>
  <si>
    <t xml:space="preserve">  P3</t>
  </si>
  <si>
    <t xml:space="preserve">  P2</t>
  </si>
  <si>
    <t xml:space="preserve"> Total IP</t>
  </si>
  <si>
    <t xml:space="preserve">  66100  Overtime &amp; night differential</t>
  </si>
  <si>
    <t xml:space="preserve"> 71600 Other official travel of staff</t>
  </si>
  <si>
    <t xml:space="preserve"> 73100 Rent &amp; utilities premises</t>
  </si>
  <si>
    <t xml:space="preserve"> 73200 Premises Alteration</t>
  </si>
  <si>
    <t xml:space="preserve"> 71400 Help desk SCs</t>
  </si>
  <si>
    <t xml:space="preserve"> 72400 Communications &amp; comm equipment</t>
  </si>
  <si>
    <t xml:space="preserve"> 73400 Maintenance of furniture and equipment (vehicle maint, garage &amp; parking)</t>
  </si>
  <si>
    <t xml:space="preserve"> 72300 Materials &amp; Goods (Only for land transportation fuel-72311)</t>
  </si>
  <si>
    <t xml:space="preserve"> 72500 Supplies and materials (stationary, subscriptions)</t>
  </si>
  <si>
    <t xml:space="preserve"> 72200 Office furniture &amp; equipment </t>
  </si>
  <si>
    <t xml:space="preserve"> 72800 Data processing equipment, IT supplies, MS licenses</t>
  </si>
  <si>
    <t xml:space="preserve"> 74500  Miscellaneous services (bank charges, insurance, sundry, storage)</t>
  </si>
  <si>
    <t xml:space="preserve">Sum of General Operating Expenses - Activity2 </t>
  </si>
  <si>
    <t>Sum of STAFF COSTS - Activity1</t>
  </si>
  <si>
    <t>Atlas Fund Code</t>
  </si>
  <si>
    <t>Atlas Donor Code</t>
  </si>
  <si>
    <t xml:space="preserve"> Total GS*</t>
  </si>
  <si>
    <t xml:space="preserve">  6X300 International Posts
(FCSO)*</t>
  </si>
  <si>
    <t xml:space="preserve">  6X200 General Service Posts
(LL)*</t>
  </si>
  <si>
    <t>*Activity1  -  Please split the budget for IP and GS  as follows into three major account codes 65% x 25% x 10%:</t>
  </si>
  <si>
    <t>URY</t>
  </si>
  <si>
    <t>Uruguay - Montevideo</t>
  </si>
  <si>
    <t xml:space="preserve">75700 - Adhoc training </t>
  </si>
  <si>
    <t>74700
Shipping</t>
  </si>
  <si>
    <t>72130-local transportation</t>
  </si>
  <si>
    <t>Uruguay</t>
  </si>
  <si>
    <t>b0526</t>
  </si>
  <si>
    <t>Revision for payroll</t>
  </si>
  <si>
    <t>payroll adjustment</t>
  </si>
  <si>
    <t xml:space="preserve">Georgia </t>
  </si>
  <si>
    <t xml:space="preserve">Tanzania </t>
  </si>
  <si>
    <t>Nigeria</t>
  </si>
  <si>
    <t>AUT</t>
  </si>
  <si>
    <t>BGR</t>
  </si>
  <si>
    <t>BLR</t>
  </si>
  <si>
    <t>BRB</t>
  </si>
  <si>
    <t>BTN</t>
  </si>
  <si>
    <t>CPV</t>
  </si>
  <si>
    <t>CUB</t>
  </si>
  <si>
    <t>CYP</t>
  </si>
  <si>
    <t>EST</t>
  </si>
  <si>
    <t>HRV</t>
  </si>
  <si>
    <t>KOR</t>
  </si>
  <si>
    <t>LTU</t>
  </si>
  <si>
    <t>LVA</t>
  </si>
  <si>
    <t>MDA</t>
  </si>
  <si>
    <t>MDV</t>
  </si>
  <si>
    <t>MUS</t>
  </si>
  <si>
    <t>POL</t>
  </si>
  <si>
    <t>PRK</t>
  </si>
  <si>
    <t>PRY</t>
  </si>
  <si>
    <t>ROU</t>
  </si>
  <si>
    <t>STP</t>
  </si>
  <si>
    <t>SVK</t>
  </si>
  <si>
    <t>2013 POST DISTRIBUTION at the beginning of the year</t>
  </si>
  <si>
    <t>Changes during 2013</t>
  </si>
  <si>
    <t>2014 POST DISTRIBUTION at the beginning of the year</t>
  </si>
  <si>
    <t xml:space="preserve">*Activity2  -  Please strictly follow the budget distribution of UNDSS for GOE.  No internal budget redeployment can be done without UNDSS HQ authorization. </t>
  </si>
  <si>
    <t>Mozambique</t>
  </si>
  <si>
    <t>Colombia</t>
  </si>
  <si>
    <t>- 5 locations, all except Bogota</t>
  </si>
  <si>
    <t>Argentina</t>
  </si>
  <si>
    <t>Pakistan</t>
  </si>
  <si>
    <t xml:space="preserve"> - 7 locations, $500/each</t>
  </si>
  <si>
    <t>Chad</t>
  </si>
  <si>
    <t>Lebanon</t>
  </si>
  <si>
    <t>Moldova</t>
  </si>
  <si>
    <t>Moldova Republic</t>
  </si>
  <si>
    <t>1 GS position added in April 2014</t>
  </si>
  <si>
    <t>- 3 offices - in May, added Bauchi - Tyrone</t>
  </si>
  <si>
    <t>Macedonia - Skopje</t>
  </si>
  <si>
    <t>Indonesia</t>
  </si>
  <si>
    <t xml:space="preserve">2 locations, $300 each, Denpasar and Jayapura (only approved trill 31.12.2014) </t>
  </si>
  <si>
    <t>- 3 locations, $300 each, Kupang, Banda Aceh and Makassar</t>
  </si>
  <si>
    <t>Medan $300</t>
  </si>
  <si>
    <t>Cotobano city</t>
  </si>
  <si>
    <t>Philippines</t>
  </si>
  <si>
    <t>Sudan Darfur and Khartoum</t>
  </si>
  <si>
    <t>ZZZ Total</t>
  </si>
  <si>
    <t>DEPARTMENT OF SAFETY &amp; SECURITY - 2015 FIELD PROGRAMME EXPENDITURES AUTHORIZATION</t>
  </si>
  <si>
    <t>country code</t>
  </si>
  <si>
    <t>AUS</t>
  </si>
  <si>
    <t>BEL</t>
  </si>
  <si>
    <t>BLZ</t>
  </si>
  <si>
    <t>BR2</t>
  </si>
  <si>
    <t>CA2</t>
  </si>
  <si>
    <t>CAN</t>
  </si>
  <si>
    <t>CHE</t>
  </si>
  <si>
    <t>CI2</t>
  </si>
  <si>
    <t>CL2</t>
  </si>
  <si>
    <t>CZE</t>
  </si>
  <si>
    <t>DE2</t>
  </si>
  <si>
    <t>DEU</t>
  </si>
  <si>
    <t>DNK</t>
  </si>
  <si>
    <t>ESP</t>
  </si>
  <si>
    <t>FIN</t>
  </si>
  <si>
    <t>FR3</t>
  </si>
  <si>
    <t>FRA</t>
  </si>
  <si>
    <t>FSM</t>
  </si>
  <si>
    <t>GBR</t>
  </si>
  <si>
    <t>GRC</t>
  </si>
  <si>
    <t>HT2</t>
  </si>
  <si>
    <t>HUN</t>
  </si>
  <si>
    <t>IN2</t>
  </si>
  <si>
    <t>IR2</t>
  </si>
  <si>
    <t>IT2</t>
  </si>
  <si>
    <t>IT3</t>
  </si>
  <si>
    <t>ITA</t>
  </si>
  <si>
    <t>JPN</t>
  </si>
  <si>
    <t>KG2</t>
  </si>
  <si>
    <t>KIR</t>
  </si>
  <si>
    <t>LB2</t>
  </si>
  <si>
    <t>MD2</t>
  </si>
  <si>
    <t>MLT</t>
  </si>
  <si>
    <t>MN2</t>
  </si>
  <si>
    <t>MNE</t>
  </si>
  <si>
    <t>NLD</t>
  </si>
  <si>
    <t>NOR</t>
  </si>
  <si>
    <t>NRU</t>
  </si>
  <si>
    <t>OMN</t>
  </si>
  <si>
    <t>PAL</t>
  </si>
  <si>
    <t>PLW</t>
  </si>
  <si>
    <t>PRT</t>
  </si>
  <si>
    <t>QAT</t>
  </si>
  <si>
    <t>SGP</t>
  </si>
  <si>
    <t>SLB</t>
  </si>
  <si>
    <t>ST2</t>
  </si>
  <si>
    <t>SUR</t>
  </si>
  <si>
    <t>SVN</t>
  </si>
  <si>
    <t>SWE</t>
  </si>
  <si>
    <t>SYC</t>
  </si>
  <si>
    <t>TH2</t>
  </si>
  <si>
    <t>TON</t>
  </si>
  <si>
    <t>TT2</t>
  </si>
  <si>
    <t>TU2</t>
  </si>
  <si>
    <t>TUV</t>
  </si>
  <si>
    <t>US2</t>
  </si>
  <si>
    <t>VUT</t>
  </si>
  <si>
    <t>Budget Dept</t>
  </si>
  <si>
    <t>Frmr Yugoslav Rep of Macedonia</t>
  </si>
  <si>
    <t>Kazakhstan - Astana</t>
  </si>
  <si>
    <t>Libya - Tripoli</t>
  </si>
  <si>
    <t>Nigeria - Abuja</t>
  </si>
  <si>
    <t>PAPP/Jerusalem</t>
  </si>
  <si>
    <t>Saudi Arabia - Riyadh</t>
  </si>
  <si>
    <t>Syrian Arab Republic- Damascus</t>
  </si>
  <si>
    <t>Trinidad &amp; Tobago-Port ofSpain</t>
  </si>
  <si>
    <t>United Arab Emirates-Abu Dhabi</t>
  </si>
  <si>
    <t>Country</t>
  </si>
  <si>
    <t>Sudan - Darfur and Khartoum</t>
  </si>
  <si>
    <t xml:space="preserve">Kosovo </t>
  </si>
  <si>
    <t>2015 POST DISTRIBUTION at the beginning of the year</t>
  </si>
  <si>
    <t>P-4</t>
  </si>
  <si>
    <t>Saudi Arabia</t>
  </si>
  <si>
    <t>B04701</t>
  </si>
  <si>
    <t>B04702</t>
  </si>
  <si>
    <t>DATE:  29 December 2014</t>
  </si>
  <si>
    <t>Total per           Country</t>
  </si>
  <si>
    <t xml:space="preserve">TOTAL 2015 ASL </t>
  </si>
  <si>
    <t xml:space="preserve"> 2015 FIELD PROGRAMME EXPENDITURES AUTHORIZATION </t>
  </si>
  <si>
    <t>Date: 31 December 2014</t>
  </si>
  <si>
    <r>
      <t>A.</t>
    </r>
    <r>
      <rPr>
        <b/>
        <sz val="10"/>
        <color indexed="10"/>
        <rFont val="Arial Unicode MS"/>
        <family val="2"/>
      </rPr>
      <t xml:space="preserve"> Activity 1 </t>
    </r>
    <r>
      <rPr>
        <b/>
        <sz val="10"/>
        <rFont val="Arial Unicode MS"/>
        <family val="2"/>
      </rPr>
      <t>-STAFF &amp; COMMON STAFF COSTS</t>
    </r>
  </si>
  <si>
    <r>
      <t xml:space="preserve">B. </t>
    </r>
    <r>
      <rPr>
        <b/>
        <sz val="10"/>
        <color indexed="10"/>
        <rFont val="Arial Unicode MS"/>
        <family val="2"/>
      </rPr>
      <t>Activity 2</t>
    </r>
    <r>
      <rPr>
        <b/>
        <sz val="10"/>
        <rFont val="Arial Unicode MS"/>
        <family val="2"/>
      </rPr>
      <t xml:space="preserve">  - GENERAL OPERATING EXPENSES (GOE)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</si>
</sst>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_);_(* \(#,##0.00\);_(* &quot;-&quot;_);_(@_)"/>
    <numFmt numFmtId="168" formatCode="[$-409]d\-mmm\-yy;@"/>
    <numFmt numFmtId="169" formatCode="_(#,##0_);_(\ \(#,##0\);_(\ &quot;-&quot;??_);_(@_)"/>
  </numFmts>
  <fonts count="32" x14ac:knownFonts="1">
    <font>
      <sz val="10"/>
      <name val="Arial Unicode MS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6"/>
      <name val="Arial Unicode MS"/>
      <family val="2"/>
    </font>
    <font>
      <b/>
      <u/>
      <sz val="10"/>
      <name val="Arial Unicode MS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2"/>
      <name val="Arial Unicode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indexed="10"/>
      <name val="Arial Unicode MS"/>
      <family val="2"/>
    </font>
    <font>
      <sz val="10"/>
      <name val="Arial Unicode MS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 Unicode MS"/>
      <family val="2"/>
    </font>
    <font>
      <sz val="11"/>
      <color rgb="FF1F497D"/>
      <name val="Calibri"/>
      <family val="2"/>
    </font>
    <font>
      <b/>
      <sz val="10"/>
      <color rgb="FFFF000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 Unicode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 Unicode MS"/>
    </font>
    <font>
      <b/>
      <sz val="10"/>
      <color indexed="10"/>
      <name val="Arial Unicode MS"/>
      <family val="2"/>
    </font>
    <font>
      <b/>
      <sz val="10"/>
      <name val="Arial Unicode MS"/>
    </font>
    <font>
      <sz val="11"/>
      <name val="Arial Unicode MS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19" fillId="0" borderId="0"/>
    <xf numFmtId="0" fontId="12" fillId="0" borderId="0"/>
    <xf numFmtId="9" fontId="2" fillId="0" borderId="0" applyFont="0" applyFill="0" applyBorder="0" applyAlignment="0" applyProtection="0"/>
  </cellStyleXfs>
  <cellXfs count="450">
    <xf numFmtId="0" fontId="0" fillId="0" borderId="0" xfId="0"/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49" fontId="7" fillId="2" borderId="0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0" fillId="0" borderId="11" xfId="0" applyFill="1" applyBorder="1" applyAlignment="1"/>
    <xf numFmtId="41" fontId="0" fillId="0" borderId="11" xfId="0" applyNumberFormat="1" applyFill="1" applyBorder="1" applyAlignment="1"/>
    <xf numFmtId="41" fontId="0" fillId="0" borderId="13" xfId="0" applyNumberFormat="1" applyFill="1" applyBorder="1" applyAlignment="1"/>
    <xf numFmtId="0" fontId="0" fillId="0" borderId="12" xfId="0" applyFill="1" applyBorder="1" applyAlignment="1"/>
    <xf numFmtId="0" fontId="0" fillId="0" borderId="0" xfId="0" applyFill="1" applyBorder="1" applyAlignment="1"/>
    <xf numFmtId="41" fontId="0" fillId="0" borderId="0" xfId="0" applyNumberFormat="1" applyAlignment="1"/>
    <xf numFmtId="41" fontId="0" fillId="0" borderId="0" xfId="0" applyNumberFormat="1" applyFill="1" applyAlignment="1"/>
    <xf numFmtId="164" fontId="0" fillId="0" borderId="0" xfId="0" applyNumberFormat="1" applyFill="1" applyAlignment="1"/>
    <xf numFmtId="0" fontId="0" fillId="0" borderId="11" xfId="0" applyBorder="1"/>
    <xf numFmtId="0" fontId="0" fillId="0" borderId="0" xfId="0" applyAlignment="1">
      <alignment horizontal="center"/>
    </xf>
    <xf numFmtId="43" fontId="2" fillId="0" borderId="0" xfId="1" applyFont="1" applyAlignment="1"/>
    <xf numFmtId="43" fontId="2" fillId="0" borderId="0" xfId="1" applyFont="1" applyAlignment="1">
      <alignment horizontal="center" vertical="top"/>
    </xf>
    <xf numFmtId="43" fontId="2" fillId="0" borderId="0" xfId="1" applyFont="1" applyAlignment="1">
      <alignment horizontal="center" vertical="top" wrapText="1"/>
    </xf>
    <xf numFmtId="43" fontId="0" fillId="0" borderId="0" xfId="1" applyFont="1"/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3" fontId="2" fillId="0" borderId="0" xfId="1" applyFont="1" applyFill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1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5" fillId="2" borderId="26" xfId="0" applyFont="1" applyFill="1" applyBorder="1" applyAlignment="1"/>
    <xf numFmtId="0" fontId="3" fillId="2" borderId="2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0" fillId="2" borderId="28" xfId="0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8" xfId="0" applyBorder="1"/>
    <xf numFmtId="0" fontId="0" fillId="0" borderId="0" xfId="0" applyBorder="1"/>
    <xf numFmtId="43" fontId="0" fillId="0" borderId="0" xfId="0" applyNumberFormat="1" applyFill="1" applyBorder="1"/>
    <xf numFmtId="43" fontId="0" fillId="0" borderId="0" xfId="1" applyFont="1" applyFill="1" applyBorder="1"/>
    <xf numFmtId="43" fontId="0" fillId="0" borderId="0" xfId="1" applyFont="1" applyBorder="1"/>
    <xf numFmtId="43" fontId="0" fillId="0" borderId="4" xfId="1" applyFont="1" applyBorder="1"/>
    <xf numFmtId="0" fontId="0" fillId="0" borderId="0" xfId="0" applyFill="1" applyBorder="1"/>
    <xf numFmtId="0" fontId="3" fillId="0" borderId="28" xfId="0" applyFont="1" applyBorder="1"/>
    <xf numFmtId="43" fontId="3" fillId="0" borderId="0" xfId="1" applyFont="1" applyBorder="1"/>
    <xf numFmtId="43" fontId="3" fillId="0" borderId="4" xfId="1" applyFont="1" applyBorder="1"/>
    <xf numFmtId="0" fontId="1" fillId="3" borderId="29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9" fillId="3" borderId="30" xfId="0" applyFont="1" applyFill="1" applyBorder="1" applyAlignment="1">
      <alignment horizontal="center" vertical="top" wrapText="1"/>
    </xf>
    <xf numFmtId="0" fontId="3" fillId="3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/>
    <xf numFmtId="0" fontId="0" fillId="2" borderId="5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/>
    </xf>
    <xf numFmtId="0" fontId="1" fillId="3" borderId="3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4" xfId="0" applyBorder="1"/>
    <xf numFmtId="0" fontId="3" fillId="0" borderId="4" xfId="0" applyFont="1" applyBorder="1"/>
    <xf numFmtId="0" fontId="3" fillId="2" borderId="33" xfId="0" applyFont="1" applyFill="1" applyBorder="1" applyAlignment="1">
      <alignment horizontal="left"/>
    </xf>
    <xf numFmtId="0" fontId="0" fillId="2" borderId="34" xfId="0" applyFill="1" applyBorder="1" applyAlignment="1"/>
    <xf numFmtId="0" fontId="6" fillId="2" borderId="35" xfId="0" applyFont="1" applyFill="1" applyBorder="1" applyAlignment="1">
      <alignment horizontal="center" vertical="top" wrapText="1"/>
    </xf>
    <xf numFmtId="49" fontId="7" fillId="2" borderId="28" xfId="0" applyNumberFormat="1" applyFont="1" applyFill="1" applyBorder="1" applyAlignment="1">
      <alignment horizontal="center"/>
    </xf>
    <xf numFmtId="3" fontId="3" fillId="3" borderId="29" xfId="0" applyNumberFormat="1" applyFont="1" applyFill="1" applyBorder="1" applyAlignment="1">
      <alignment horizontal="center" vertical="top" wrapText="1"/>
    </xf>
    <xf numFmtId="0" fontId="9" fillId="3" borderId="31" xfId="0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43" fontId="0" fillId="0" borderId="4" xfId="1" applyFont="1" applyFill="1" applyBorder="1"/>
    <xf numFmtId="0" fontId="0" fillId="0" borderId="28" xfId="0" applyFill="1" applyBorder="1"/>
    <xf numFmtId="0" fontId="0" fillId="0" borderId="4" xfId="0" applyFill="1" applyBorder="1"/>
    <xf numFmtId="43" fontId="3" fillId="0" borderId="28" xfId="1" applyFont="1" applyBorder="1"/>
    <xf numFmtId="43" fontId="0" fillId="0" borderId="28" xfId="1" applyFont="1" applyBorder="1"/>
    <xf numFmtId="0" fontId="3" fillId="0" borderId="36" xfId="0" applyFont="1" applyBorder="1"/>
    <xf numFmtId="0" fontId="3" fillId="0" borderId="37" xfId="0" applyFont="1" applyBorder="1"/>
    <xf numFmtId="43" fontId="3" fillId="0" borderId="36" xfId="1" applyFont="1" applyBorder="1"/>
    <xf numFmtId="43" fontId="3" fillId="0" borderId="38" xfId="1" applyFont="1" applyBorder="1"/>
    <xf numFmtId="43" fontId="3" fillId="0" borderId="37" xfId="1" applyFont="1" applyBorder="1"/>
    <xf numFmtId="0" fontId="3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/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 vertical="top" wrapText="1"/>
    </xf>
    <xf numFmtId="49" fontId="7" fillId="2" borderId="41" xfId="0" applyNumberFormat="1" applyFont="1" applyFill="1" applyBorder="1" applyAlignment="1">
      <alignment horizontal="center"/>
    </xf>
    <xf numFmtId="43" fontId="0" fillId="0" borderId="0" xfId="1" applyFont="1" applyAlignment="1"/>
    <xf numFmtId="41" fontId="0" fillId="0" borderId="10" xfId="0" applyNumberFormat="1" applyBorder="1" applyAlignment="1" applyProtection="1"/>
    <xf numFmtId="41" fontId="0" fillId="0" borderId="11" xfId="0" applyNumberFormat="1" applyFill="1" applyBorder="1" applyAlignment="1" applyProtection="1"/>
    <xf numFmtId="41" fontId="0" fillId="0" borderId="46" xfId="0" applyNumberFormat="1" applyFill="1" applyBorder="1" applyAlignment="1" applyProtection="1"/>
    <xf numFmtId="41" fontId="0" fillId="0" borderId="48" xfId="0" applyNumberFormat="1" applyFill="1" applyBorder="1" applyAlignment="1" applyProtection="1"/>
    <xf numFmtId="0" fontId="2" fillId="0" borderId="0" xfId="0" applyFont="1" applyFill="1" applyAlignment="1"/>
    <xf numFmtId="0" fontId="0" fillId="0" borderId="12" xfId="0" applyBorder="1"/>
    <xf numFmtId="0" fontId="0" fillId="0" borderId="46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6" xfId="0" applyFill="1" applyBorder="1"/>
    <xf numFmtId="0" fontId="2" fillId="0" borderId="46" xfId="0" applyFont="1" applyBorder="1"/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12" xfId="0" applyFill="1" applyBorder="1"/>
    <xf numFmtId="0" fontId="2" fillId="0" borderId="12" xfId="0" applyFont="1" applyBorder="1"/>
    <xf numFmtId="0" fontId="0" fillId="0" borderId="45" xfId="0" applyBorder="1"/>
    <xf numFmtId="0" fontId="2" fillId="0" borderId="0" xfId="0" applyFont="1"/>
    <xf numFmtId="41" fontId="0" fillId="0" borderId="0" xfId="0" applyNumberFormat="1"/>
    <xf numFmtId="165" fontId="0" fillId="0" borderId="0" xfId="0" applyNumberFormat="1" applyAlignment="1"/>
    <xf numFmtId="41" fontId="2" fillId="0" borderId="11" xfId="0" applyNumberFormat="1" applyFont="1" applyFill="1" applyBorder="1" applyAlignment="1" applyProtection="1"/>
    <xf numFmtId="0" fontId="0" fillId="0" borderId="7" xfId="0" applyFill="1" applyBorder="1" applyAlignment="1"/>
    <xf numFmtId="0" fontId="1" fillId="0" borderId="55" xfId="0" applyFont="1" applyFill="1" applyBorder="1" applyAlignment="1">
      <alignment horizontal="centerContinuous" wrapText="1"/>
    </xf>
    <xf numFmtId="0" fontId="11" fillId="0" borderId="1" xfId="0" applyFont="1" applyBorder="1" applyAlignment="1"/>
    <xf numFmtId="0" fontId="2" fillId="0" borderId="11" xfId="0" applyFont="1" applyFill="1" applyBorder="1" applyAlignment="1"/>
    <xf numFmtId="41" fontId="0" fillId="0" borderId="0" xfId="0" applyNumberFormat="1" applyFill="1" applyBorder="1" applyAlignment="1" applyProtection="1"/>
    <xf numFmtId="0" fontId="0" fillId="5" borderId="12" xfId="0" applyFill="1" applyBorder="1"/>
    <xf numFmtId="0" fontId="0" fillId="5" borderId="46" xfId="0" applyFill="1" applyBorder="1"/>
    <xf numFmtId="41" fontId="0" fillId="0" borderId="17" xfId="0" applyNumberFormat="1" applyFill="1" applyBorder="1" applyAlignment="1" applyProtection="1"/>
    <xf numFmtId="41" fontId="0" fillId="0" borderId="58" xfId="0" applyNumberFormat="1" applyFill="1" applyBorder="1" applyAlignment="1" applyProtection="1"/>
    <xf numFmtId="41" fontId="0" fillId="0" borderId="12" xfId="0" applyNumberFormat="1" applyFill="1" applyBorder="1" applyAlignment="1" applyProtection="1"/>
    <xf numFmtId="41" fontId="0" fillId="0" borderId="53" xfId="0" applyNumberFormat="1" applyFill="1" applyBorder="1" applyAlignment="1" applyProtection="1"/>
    <xf numFmtId="0" fontId="0" fillId="6" borderId="10" xfId="0" applyFill="1" applyBorder="1" applyAlignment="1"/>
    <xf numFmtId="0" fontId="0" fillId="6" borderId="11" xfId="0" applyFill="1" applyBorder="1" applyAlignment="1"/>
    <xf numFmtId="0" fontId="2" fillId="6" borderId="11" xfId="0" applyFont="1" applyFill="1" applyBorder="1" applyAlignment="1"/>
    <xf numFmtId="41" fontId="0" fillId="6" borderId="10" xfId="0" applyNumberFormat="1" applyFill="1" applyBorder="1" applyAlignment="1" applyProtection="1"/>
    <xf numFmtId="41" fontId="0" fillId="6" borderId="11" xfId="0" applyNumberFormat="1" applyFill="1" applyBorder="1" applyAlignment="1" applyProtection="1"/>
    <xf numFmtId="41" fontId="0" fillId="6" borderId="12" xfId="0" applyNumberFormat="1" applyFill="1" applyBorder="1" applyAlignment="1" applyProtection="1"/>
    <xf numFmtId="0" fontId="1" fillId="6" borderId="12" xfId="0" applyFont="1" applyFill="1" applyBorder="1" applyAlignment="1"/>
    <xf numFmtId="41" fontId="1" fillId="6" borderId="10" xfId="0" applyNumberFormat="1" applyFont="1" applyFill="1" applyBorder="1" applyAlignment="1" applyProtection="1"/>
    <xf numFmtId="41" fontId="1" fillId="6" borderId="13" xfId="0" applyNumberFormat="1" applyFont="1" applyFill="1" applyBorder="1" applyAlignment="1"/>
    <xf numFmtId="41" fontId="1" fillId="6" borderId="11" xfId="0" applyNumberFormat="1" applyFont="1" applyFill="1" applyBorder="1" applyAlignment="1"/>
    <xf numFmtId="41" fontId="1" fillId="6" borderId="24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43" fontId="0" fillId="0" borderId="0" xfId="10" applyNumberFormat="1" applyFont="1" applyFill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49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5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43" fontId="2" fillId="0" borderId="0" xfId="0" applyNumberFormat="1" applyFont="1"/>
    <xf numFmtId="0" fontId="0" fillId="6" borderId="51" xfId="0" applyFill="1" applyBorder="1"/>
    <xf numFmtId="0" fontId="0" fillId="6" borderId="12" xfId="0" applyFill="1" applyBorder="1"/>
    <xf numFmtId="0" fontId="0" fillId="6" borderId="46" xfId="0" applyFill="1" applyBorder="1"/>
    <xf numFmtId="43" fontId="14" fillId="6" borderId="0" xfId="10" applyNumberFormat="1" applyFont="1" applyFill="1"/>
    <xf numFmtId="43" fontId="2" fillId="6" borderId="0" xfId="0" applyNumberFormat="1" applyFont="1" applyFill="1"/>
    <xf numFmtId="0" fontId="2" fillId="6" borderId="12" xfId="0" applyFont="1" applyFill="1" applyBorder="1"/>
    <xf numFmtId="0" fontId="2" fillId="6" borderId="46" xfId="0" applyFon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0" fillId="0" borderId="10" xfId="0" applyFill="1" applyBorder="1" applyAlignment="1"/>
    <xf numFmtId="0" fontId="2" fillId="0" borderId="12" xfId="0" applyFont="1" applyFill="1" applyBorder="1" applyAlignment="1"/>
    <xf numFmtId="0" fontId="1" fillId="0" borderId="42" xfId="0" applyFont="1" applyFill="1" applyBorder="1" applyAlignment="1">
      <alignment horizontal="centerContinuous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9" fillId="3" borderId="0" xfId="0" applyFont="1" applyFill="1" applyBorder="1" applyAlignment="1">
      <alignment horizontal="center" vertical="top" wrapText="1"/>
    </xf>
    <xf numFmtId="0" fontId="9" fillId="3" borderId="61" xfId="0" applyFont="1" applyFill="1" applyBorder="1" applyAlignment="1">
      <alignment horizontal="center" vertical="top" wrapText="1"/>
    </xf>
    <xf numFmtId="0" fontId="9" fillId="3" borderId="28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Continuous"/>
    </xf>
    <xf numFmtId="43" fontId="0" fillId="0" borderId="0" xfId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66" fontId="0" fillId="0" borderId="0" xfId="1" applyNumberFormat="1" applyFont="1"/>
    <xf numFmtId="0" fontId="1" fillId="0" borderId="0" xfId="0" applyFont="1" applyFill="1" applyBorder="1" applyAlignment="1">
      <alignment horizontal="left" indent="26"/>
    </xf>
    <xf numFmtId="43" fontId="1" fillId="0" borderId="0" xfId="1" applyFont="1"/>
    <xf numFmtId="166" fontId="1" fillId="0" borderId="0" xfId="1" applyNumberFormat="1" applyFont="1"/>
    <xf numFmtId="0" fontId="1" fillId="3" borderId="44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41" fontId="0" fillId="0" borderId="24" xfId="0" applyNumberFormat="1" applyFill="1" applyBorder="1" applyAlignment="1" applyProtection="1"/>
    <xf numFmtId="41" fontId="2" fillId="0" borderId="24" xfId="0" applyNumberFormat="1" applyFont="1" applyFill="1" applyBorder="1" applyAlignment="1" applyProtection="1"/>
    <xf numFmtId="41" fontId="0" fillId="6" borderId="24" xfId="0" applyNumberFormat="1" applyFill="1" applyBorder="1" applyAlignment="1" applyProtection="1"/>
    <xf numFmtId="41" fontId="0" fillId="0" borderId="59" xfId="0" applyNumberFormat="1" applyFill="1" applyBorder="1" applyAlignment="1" applyProtection="1"/>
    <xf numFmtId="41" fontId="2" fillId="0" borderId="59" xfId="0" applyNumberFormat="1" applyFont="1" applyFill="1" applyBorder="1" applyAlignment="1" applyProtection="1"/>
    <xf numFmtId="41" fontId="1" fillId="6" borderId="59" xfId="0" applyNumberFormat="1" applyFont="1" applyFill="1" applyBorder="1" applyAlignment="1" applyProtection="1"/>
    <xf numFmtId="41" fontId="0" fillId="6" borderId="59" xfId="0" applyNumberFormat="1" applyFill="1" applyBorder="1" applyAlignment="1" applyProtection="1"/>
    <xf numFmtId="166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43" fontId="0" fillId="5" borderId="0" xfId="0" applyNumberFormat="1" applyFill="1" applyBorder="1"/>
    <xf numFmtId="0" fontId="0" fillId="5" borderId="0" xfId="0" applyFill="1" applyBorder="1"/>
    <xf numFmtId="43" fontId="3" fillId="5" borderId="0" xfId="1" applyFont="1" applyFill="1" applyBorder="1"/>
    <xf numFmtId="43" fontId="15" fillId="5" borderId="0" xfId="1" applyFont="1" applyFill="1" applyBorder="1"/>
    <xf numFmtId="43" fontId="3" fillId="5" borderId="37" xfId="1" applyFont="1" applyFill="1" applyBorder="1"/>
    <xf numFmtId="0" fontId="21" fillId="0" borderId="0" xfId="0" applyFont="1" applyAlignment="1">
      <alignment vertical="center"/>
    </xf>
    <xf numFmtId="6" fontId="0" fillId="0" borderId="0" xfId="0" applyNumberFormat="1"/>
    <xf numFmtId="0" fontId="0" fillId="0" borderId="0" xfId="0" quotePrefix="1"/>
    <xf numFmtId="0" fontId="1" fillId="3" borderId="32" xfId="0" applyFont="1" applyFill="1" applyBorder="1" applyAlignment="1">
      <alignment horizontal="centerContinuous"/>
    </xf>
    <xf numFmtId="0" fontId="1" fillId="3" borderId="22" xfId="0" applyFont="1" applyFill="1" applyBorder="1" applyAlignment="1">
      <alignment horizontal="center" vertical="top" wrapText="1"/>
    </xf>
    <xf numFmtId="41" fontId="1" fillId="0" borderId="23" xfId="0" applyNumberFormat="1" applyFont="1" applyBorder="1" applyAlignment="1"/>
    <xf numFmtId="41" fontId="1" fillId="0" borderId="24" xfId="0" applyNumberFormat="1" applyFont="1" applyBorder="1" applyAlignment="1"/>
    <xf numFmtId="41" fontId="1" fillId="0" borderId="24" xfId="0" applyNumberFormat="1" applyFont="1" applyFill="1" applyBorder="1" applyAlignment="1"/>
    <xf numFmtId="41" fontId="1" fillId="6" borderId="12" xfId="0" applyNumberFormat="1" applyFont="1" applyFill="1" applyBorder="1" applyAlignment="1" applyProtection="1"/>
    <xf numFmtId="41" fontId="1" fillId="6" borderId="11" xfId="0" applyNumberFormat="1" applyFont="1" applyFill="1" applyBorder="1" applyAlignment="1" applyProtection="1"/>
    <xf numFmtId="41" fontId="1" fillId="0" borderId="25" xfId="0" applyNumberFormat="1" applyFont="1" applyBorder="1" applyAlignment="1"/>
    <xf numFmtId="41" fontId="1" fillId="0" borderId="0" xfId="0" applyNumberFormat="1" applyFont="1" applyFill="1" applyAlignment="1"/>
    <xf numFmtId="44" fontId="1" fillId="0" borderId="0" xfId="0" applyNumberFormat="1" applyFont="1" applyAlignment="1"/>
    <xf numFmtId="0" fontId="0" fillId="0" borderId="11" xfId="0" applyFill="1" applyBorder="1"/>
    <xf numFmtId="43" fontId="0" fillId="0" borderId="0" xfId="1" applyFont="1" applyAlignment="1">
      <alignment horizontal="left"/>
    </xf>
    <xf numFmtId="0" fontId="1" fillId="4" borderId="2" xfId="0" applyFont="1" applyFill="1" applyBorder="1" applyAlignment="1">
      <alignment horizontal="left"/>
    </xf>
    <xf numFmtId="0" fontId="0" fillId="4" borderId="3" xfId="0" applyFill="1" applyBorder="1"/>
    <xf numFmtId="0" fontId="0" fillId="0" borderId="18" xfId="0" applyBorder="1"/>
    <xf numFmtId="0" fontId="8" fillId="4" borderId="14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4" borderId="48" xfId="0" applyFont="1" applyFill="1" applyBorder="1" applyAlignment="1">
      <alignment horizontal="center" vertical="top"/>
    </xf>
    <xf numFmtId="166" fontId="0" fillId="0" borderId="65" xfId="1" applyNumberFormat="1" applyFont="1" applyFill="1" applyBorder="1" applyAlignment="1">
      <alignment horizontal="center"/>
    </xf>
    <xf numFmtId="166" fontId="0" fillId="0" borderId="66" xfId="1" applyNumberFormat="1" applyFont="1" applyFill="1" applyBorder="1" applyAlignment="1">
      <alignment horizontal="center"/>
    </xf>
    <xf numFmtId="166" fontId="16" fillId="8" borderId="66" xfId="1" applyNumberFormat="1" applyFont="1" applyFill="1" applyBorder="1" applyAlignment="1">
      <alignment horizontal="center"/>
    </xf>
    <xf numFmtId="166" fontId="0" fillId="0" borderId="67" xfId="1" applyNumberFormat="1" applyFont="1" applyFill="1" applyBorder="1" applyAlignment="1">
      <alignment horizontal="center"/>
    </xf>
    <xf numFmtId="166" fontId="16" fillId="4" borderId="65" xfId="1" applyNumberFormat="1" applyFont="1" applyFill="1" applyBorder="1" applyAlignment="1">
      <alignment horizontal="center"/>
    </xf>
    <xf numFmtId="166" fontId="16" fillId="4" borderId="66" xfId="1" applyNumberFormat="1" applyFont="1" applyFill="1" applyBorder="1" applyAlignment="1">
      <alignment horizontal="center"/>
    </xf>
    <xf numFmtId="166" fontId="0" fillId="0" borderId="68" xfId="1" applyNumberFormat="1" applyFont="1" applyFill="1" applyBorder="1" applyAlignment="1">
      <alignment horizontal="center"/>
    </xf>
    <xf numFmtId="166" fontId="0" fillId="0" borderId="59" xfId="1" applyNumberFormat="1" applyFont="1" applyFill="1" applyBorder="1" applyAlignment="1">
      <alignment horizontal="center"/>
    </xf>
    <xf numFmtId="166" fontId="0" fillId="0" borderId="69" xfId="1" applyNumberFormat="1" applyFont="1" applyFill="1" applyBorder="1" applyAlignment="1">
      <alignment horizontal="center"/>
    </xf>
    <xf numFmtId="166" fontId="16" fillId="6" borderId="59" xfId="1" applyNumberFormat="1" applyFont="1" applyFill="1" applyBorder="1" applyAlignment="1">
      <alignment horizontal="center"/>
    </xf>
    <xf numFmtId="166" fontId="16" fillId="6" borderId="68" xfId="1" applyNumberFormat="1" applyFont="1" applyFill="1" applyBorder="1" applyAlignment="1">
      <alignment horizontal="center"/>
    </xf>
    <xf numFmtId="166" fontId="16" fillId="6" borderId="69" xfId="1" applyNumberFormat="1" applyFont="1" applyFill="1" applyBorder="1" applyAlignment="1">
      <alignment horizontal="center"/>
    </xf>
    <xf numFmtId="0" fontId="0" fillId="0" borderId="70" xfId="0" applyBorder="1"/>
    <xf numFmtId="0" fontId="0" fillId="0" borderId="71" xfId="0" applyBorder="1"/>
    <xf numFmtId="0" fontId="0" fillId="0" borderId="72" xfId="0" applyBorder="1"/>
    <xf numFmtId="166" fontId="0" fillId="0" borderId="73" xfId="1" applyNumberFormat="1" applyFont="1" applyFill="1" applyBorder="1" applyAlignment="1">
      <alignment horizontal="center"/>
    </xf>
    <xf numFmtId="166" fontId="0" fillId="0" borderId="74" xfId="1" applyNumberFormat="1" applyFont="1" applyFill="1" applyBorder="1" applyAlignment="1">
      <alignment horizontal="center"/>
    </xf>
    <xf numFmtId="166" fontId="16" fillId="8" borderId="0" xfId="1" applyNumberFormat="1" applyFont="1" applyFill="1" applyBorder="1" applyAlignment="1">
      <alignment horizontal="center"/>
    </xf>
    <xf numFmtId="166" fontId="0" fillId="0" borderId="75" xfId="1" applyNumberFormat="1" applyFont="1" applyFill="1" applyBorder="1" applyAlignment="1">
      <alignment horizontal="center"/>
    </xf>
    <xf numFmtId="166" fontId="16" fillId="4" borderId="21" xfId="1" applyNumberFormat="1" applyFont="1" applyFill="1" applyBorder="1" applyAlignment="1">
      <alignment horizontal="center"/>
    </xf>
    <xf numFmtId="166" fontId="16" fillId="4" borderId="0" xfId="1" applyNumberFormat="1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/>
    <xf numFmtId="0" fontId="1" fillId="5" borderId="78" xfId="0" applyFont="1" applyFill="1" applyBorder="1"/>
    <xf numFmtId="0" fontId="1" fillId="5" borderId="79" xfId="0" applyFont="1" applyFill="1" applyBorder="1"/>
    <xf numFmtId="166" fontId="1" fillId="0" borderId="55" xfId="1" applyNumberFormat="1" applyFont="1" applyFill="1" applyBorder="1" applyAlignment="1">
      <alignment horizontal="center" vertical="top"/>
    </xf>
    <xf numFmtId="166" fontId="1" fillId="0" borderId="42" xfId="1" applyNumberFormat="1" applyFont="1" applyFill="1" applyBorder="1" applyAlignment="1">
      <alignment horizontal="center" vertical="top"/>
    </xf>
    <xf numFmtId="166" fontId="1" fillId="4" borderId="42" xfId="1" applyNumberFormat="1" applyFont="1" applyFill="1" applyBorder="1" applyAlignment="1">
      <alignment horizontal="center" vertical="top"/>
    </xf>
    <xf numFmtId="166" fontId="1" fillId="8" borderId="42" xfId="1" applyNumberFormat="1" applyFont="1" applyFill="1" applyBorder="1" applyAlignment="1">
      <alignment horizontal="center" vertical="top"/>
    </xf>
    <xf numFmtId="166" fontId="1" fillId="0" borderId="43" xfId="1" applyNumberFormat="1" applyFont="1" applyFill="1" applyBorder="1" applyAlignment="1">
      <alignment horizontal="center" vertical="top"/>
    </xf>
    <xf numFmtId="43" fontId="0" fillId="0" borderId="65" xfId="1" applyNumberFormat="1" applyFont="1" applyFill="1" applyBorder="1" applyAlignment="1">
      <alignment horizontal="center"/>
    </xf>
    <xf numFmtId="43" fontId="0" fillId="0" borderId="66" xfId="1" applyNumberFormat="1" applyFont="1" applyFill="1" applyBorder="1" applyAlignment="1">
      <alignment horizontal="center"/>
    </xf>
    <xf numFmtId="43" fontId="10" fillId="0" borderId="42" xfId="0" applyNumberFormat="1" applyFont="1" applyFill="1" applyBorder="1" applyAlignment="1">
      <alignment horizontal="center" vertical="top" wrapText="1"/>
    </xf>
    <xf numFmtId="41" fontId="1" fillId="0" borderId="58" xfId="0" applyNumberFormat="1" applyFont="1" applyFill="1" applyBorder="1"/>
    <xf numFmtId="0" fontId="0" fillId="0" borderId="2" xfId="0" applyBorder="1"/>
    <xf numFmtId="41" fontId="17" fillId="0" borderId="11" xfId="0" applyNumberFormat="1" applyFont="1" applyFill="1" applyBorder="1" applyAlignment="1" applyProtection="1"/>
    <xf numFmtId="0" fontId="0" fillId="0" borderId="6" xfId="0" applyFill="1" applyBorder="1" applyAlignment="1"/>
    <xf numFmtId="0" fontId="0" fillId="0" borderId="8" xfId="0" applyFill="1" applyBorder="1" applyAlignment="1"/>
    <xf numFmtId="41" fontId="0" fillId="0" borderId="8" xfId="0" applyNumberFormat="1" applyFill="1" applyBorder="1" applyAlignment="1" applyProtection="1"/>
    <xf numFmtId="41" fontId="0" fillId="0" borderId="45" xfId="0" applyNumberFormat="1" applyFill="1" applyBorder="1" applyAlignment="1" applyProtection="1"/>
    <xf numFmtId="41" fontId="0" fillId="0" borderId="23" xfId="0" applyNumberFormat="1" applyFill="1" applyBorder="1" applyAlignment="1" applyProtection="1"/>
    <xf numFmtId="41" fontId="0" fillId="0" borderId="60" xfId="0" applyNumberFormat="1" applyFill="1" applyBorder="1" applyAlignment="1" applyProtection="1"/>
    <xf numFmtId="41" fontId="0" fillId="0" borderId="9" xfId="0" applyNumberFormat="1" applyFill="1" applyBorder="1" applyAlignment="1"/>
    <xf numFmtId="41" fontId="0" fillId="0" borderId="7" xfId="0" applyNumberFormat="1" applyFill="1" applyBorder="1" applyAlignment="1"/>
    <xf numFmtId="167" fontId="0" fillId="0" borderId="13" xfId="0" applyNumberFormat="1" applyFill="1" applyBorder="1" applyAlignment="1"/>
    <xf numFmtId="0" fontId="2" fillId="0" borderId="0" xfId="0" applyFont="1" applyFill="1" applyBorder="1"/>
    <xf numFmtId="168" fontId="0" fillId="0" borderId="0" xfId="0" applyNumberFormat="1"/>
    <xf numFmtId="0" fontId="2" fillId="0" borderId="0" xfId="0" quotePrefix="1" applyFo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74" xfId="0" applyFill="1" applyBorder="1" applyAlignment="1"/>
    <xf numFmtId="41" fontId="0" fillId="0" borderId="74" xfId="0" applyNumberFormat="1" applyFill="1" applyBorder="1" applyAlignment="1" applyProtection="1"/>
    <xf numFmtId="41" fontId="0" fillId="0" borderId="71" xfId="0" applyNumberFormat="1" applyFill="1" applyBorder="1" applyAlignment="1" applyProtection="1"/>
    <xf numFmtId="41" fontId="0" fillId="0" borderId="75" xfId="0" applyNumberFormat="1" applyFill="1" applyBorder="1" applyAlignment="1" applyProtection="1"/>
    <xf numFmtId="41" fontId="0" fillId="0" borderId="81" xfId="0" applyNumberFormat="1" applyFill="1" applyBorder="1" applyAlignment="1" applyProtection="1"/>
    <xf numFmtId="41" fontId="0" fillId="0" borderId="74" xfId="0" applyNumberFormat="1" applyFill="1" applyBorder="1" applyAlignment="1"/>
    <xf numFmtId="0" fontId="0" fillId="7" borderId="50" xfId="0" applyFill="1" applyBorder="1" applyAlignment="1">
      <alignment horizontal="center"/>
    </xf>
    <xf numFmtId="0" fontId="0" fillId="7" borderId="51" xfId="0" applyFill="1" applyBorder="1"/>
    <xf numFmtId="49" fontId="0" fillId="7" borderId="0" xfId="0" applyNumberFormat="1" applyFill="1"/>
    <xf numFmtId="0" fontId="0" fillId="7" borderId="46" xfId="0" applyFill="1" applyBorder="1"/>
    <xf numFmtId="166" fontId="18" fillId="7" borderId="68" xfId="1" applyNumberFormat="1" applyFont="1" applyFill="1" applyBorder="1" applyAlignment="1">
      <alignment horizontal="center"/>
    </xf>
    <xf numFmtId="166" fontId="18" fillId="7" borderId="59" xfId="1" applyNumberFormat="1" applyFont="1" applyFill="1" applyBorder="1" applyAlignment="1">
      <alignment horizontal="center"/>
    </xf>
    <xf numFmtId="166" fontId="16" fillId="7" borderId="66" xfId="1" applyNumberFormat="1" applyFont="1" applyFill="1" applyBorder="1" applyAlignment="1">
      <alignment horizontal="center"/>
    </xf>
    <xf numFmtId="166" fontId="18" fillId="7" borderId="69" xfId="1" applyNumberFormat="1" applyFont="1" applyFill="1" applyBorder="1" applyAlignment="1">
      <alignment horizontal="center"/>
    </xf>
    <xf numFmtId="166" fontId="16" fillId="7" borderId="65" xfId="1" applyNumberFormat="1" applyFont="1" applyFill="1" applyBorder="1" applyAlignment="1">
      <alignment horizontal="center"/>
    </xf>
    <xf numFmtId="43" fontId="18" fillId="7" borderId="65" xfId="1" applyNumberFormat="1" applyFont="1" applyFill="1" applyBorder="1" applyAlignment="1">
      <alignment horizontal="center"/>
    </xf>
    <xf numFmtId="166" fontId="18" fillId="7" borderId="66" xfId="1" applyNumberFormat="1" applyFont="1" applyFill="1" applyBorder="1" applyAlignment="1">
      <alignment horizontal="center"/>
    </xf>
    <xf numFmtId="43" fontId="18" fillId="7" borderId="66" xfId="1" applyNumberFormat="1" applyFont="1" applyFill="1" applyBorder="1" applyAlignment="1">
      <alignment horizontal="center"/>
    </xf>
    <xf numFmtId="0" fontId="2" fillId="0" borderId="74" xfId="0" applyFont="1" applyFill="1" applyBorder="1" applyAlignment="1"/>
    <xf numFmtId="41" fontId="2" fillId="0" borderId="0" xfId="0" applyNumberFormat="1" applyFont="1" applyFill="1" applyBorder="1" applyAlignment="1" applyProtection="1"/>
    <xf numFmtId="41" fontId="0" fillId="0" borderId="63" xfId="0" applyNumberFormat="1" applyFill="1" applyBorder="1" applyAlignment="1" applyProtection="1"/>
    <xf numFmtId="15" fontId="0" fillId="0" borderId="0" xfId="0" applyNumberFormat="1"/>
    <xf numFmtId="41" fontId="1" fillId="0" borderId="82" xfId="0" applyNumberFormat="1" applyFont="1" applyBorder="1" applyAlignment="1"/>
    <xf numFmtId="0" fontId="2" fillId="0" borderId="15" xfId="0" applyFont="1" applyFill="1" applyBorder="1" applyAlignment="1"/>
    <xf numFmtId="0" fontId="0" fillId="0" borderId="56" xfId="0" applyFill="1" applyBorder="1" applyAlignment="1"/>
    <xf numFmtId="0" fontId="2" fillId="0" borderId="16" xfId="0" applyFont="1" applyFill="1" applyBorder="1" applyAlignment="1"/>
    <xf numFmtId="0" fontId="0" fillId="0" borderId="17" xfId="0" applyFill="1" applyBorder="1" applyAlignment="1"/>
    <xf numFmtId="41" fontId="1" fillId="6" borderId="24" xfId="0" applyNumberFormat="1" applyFont="1" applyFill="1" applyBorder="1" applyAlignment="1" applyProtection="1"/>
    <xf numFmtId="0" fontId="1" fillId="0" borderId="0" xfId="0" applyFont="1"/>
    <xf numFmtId="0" fontId="1" fillId="0" borderId="14" xfId="0" applyFont="1" applyBorder="1" applyAlignment="1"/>
    <xf numFmtId="0" fontId="1" fillId="0" borderId="1" xfId="0" applyFont="1" applyBorder="1" applyAlignment="1"/>
    <xf numFmtId="165" fontId="1" fillId="0" borderId="14" xfId="3" applyNumberFormat="1" applyFont="1" applyBorder="1" applyAlignment="1"/>
    <xf numFmtId="41" fontId="0" fillId="6" borderId="8" xfId="0" applyNumberFormat="1" applyFill="1" applyBorder="1" applyAlignment="1" applyProtection="1"/>
    <xf numFmtId="0" fontId="0" fillId="10" borderId="0" xfId="0" applyFill="1" applyAlignment="1">
      <alignment horizontal="center"/>
    </xf>
    <xf numFmtId="0" fontId="11" fillId="10" borderId="0" xfId="0" applyFont="1" applyFill="1" applyBorder="1" applyAlignment="1"/>
    <xf numFmtId="0" fontId="0" fillId="10" borderId="0" xfId="0" applyFill="1"/>
    <xf numFmtId="0" fontId="4" fillId="10" borderId="1" xfId="0" applyFont="1" applyFill="1" applyBorder="1" applyAlignment="1">
      <alignment wrapText="1"/>
    </xf>
    <xf numFmtId="0" fontId="1" fillId="10" borderId="55" xfId="0" applyFont="1" applyFill="1" applyBorder="1" applyAlignment="1">
      <alignment horizontal="centerContinuous"/>
    </xf>
    <xf numFmtId="0" fontId="1" fillId="10" borderId="42" xfId="0" applyFont="1" applyFill="1" applyBorder="1" applyAlignment="1">
      <alignment horizontal="centerContinuous"/>
    </xf>
    <xf numFmtId="0" fontId="1" fillId="10" borderId="42" xfId="0" applyFont="1" applyFill="1" applyBorder="1" applyAlignment="1">
      <alignment horizontal="centerContinuous" wrapText="1"/>
    </xf>
    <xf numFmtId="0" fontId="0" fillId="10" borderId="42" xfId="0" applyFill="1" applyBorder="1" applyAlignment="1">
      <alignment horizontal="centerContinuous"/>
    </xf>
    <xf numFmtId="41" fontId="0" fillId="10" borderId="80" xfId="0" applyNumberFormat="1" applyFill="1" applyBorder="1" applyAlignment="1" applyProtection="1"/>
    <xf numFmtId="41" fontId="0" fillId="10" borderId="9" xfId="0" applyNumberFormat="1" applyFill="1" applyBorder="1" applyAlignment="1" applyProtection="1"/>
    <xf numFmtId="41" fontId="0" fillId="10" borderId="10" xfId="0" applyNumberFormat="1" applyFill="1" applyBorder="1" applyAlignment="1" applyProtection="1"/>
    <xf numFmtId="41" fontId="0" fillId="10" borderId="11" xfId="0" applyNumberFormat="1" applyFill="1" applyBorder="1" applyAlignment="1" applyProtection="1"/>
    <xf numFmtId="166" fontId="2" fillId="10" borderId="59" xfId="1" applyNumberFormat="1" applyFont="1" applyFill="1" applyBorder="1" applyAlignment="1">
      <alignment horizontal="center"/>
    </xf>
    <xf numFmtId="41" fontId="1" fillId="10" borderId="10" xfId="0" applyNumberFormat="1" applyFont="1" applyFill="1" applyBorder="1" applyAlignment="1" applyProtection="1"/>
    <xf numFmtId="41" fontId="1" fillId="10" borderId="11" xfId="0" applyNumberFormat="1" applyFont="1" applyFill="1" applyBorder="1" applyAlignment="1" applyProtection="1"/>
    <xf numFmtId="41" fontId="0" fillId="10" borderId="73" xfId="0" applyNumberFormat="1" applyFill="1" applyBorder="1" applyAlignment="1" applyProtection="1"/>
    <xf numFmtId="41" fontId="0" fillId="10" borderId="74" xfId="0" applyNumberFormat="1" applyFill="1" applyBorder="1" applyAlignment="1" applyProtection="1"/>
    <xf numFmtId="41" fontId="0" fillId="10" borderId="57" xfId="0" applyNumberFormat="1" applyFill="1" applyBorder="1" applyAlignment="1" applyProtection="1"/>
    <xf numFmtId="41" fontId="0" fillId="10" borderId="17" xfId="0" applyNumberFormat="1" applyFill="1" applyBorder="1" applyAlignment="1" applyProtection="1"/>
    <xf numFmtId="166" fontId="1" fillId="10" borderId="1" xfId="3" applyNumberFormat="1" applyFont="1" applyFill="1" applyBorder="1" applyAlignment="1">
      <alignment horizontal="center"/>
    </xf>
    <xf numFmtId="165" fontId="1" fillId="10" borderId="14" xfId="3" applyNumberFormat="1" applyFont="1" applyFill="1" applyBorder="1" applyAlignment="1"/>
    <xf numFmtId="0" fontId="0" fillId="10" borderId="0" xfId="0" applyFill="1" applyBorder="1" applyAlignment="1"/>
    <xf numFmtId="41" fontId="0" fillId="10" borderId="0" xfId="0" applyNumberFormat="1" applyFill="1" applyAlignment="1"/>
    <xf numFmtId="0" fontId="0" fillId="10" borderId="0" xfId="0" applyFill="1" applyAlignment="1"/>
    <xf numFmtId="165" fontId="0" fillId="10" borderId="0" xfId="0" applyNumberFormat="1" applyFill="1" applyAlignment="1"/>
    <xf numFmtId="43" fontId="0" fillId="10" borderId="0" xfId="1" applyFont="1" applyFill="1" applyAlignment="1"/>
    <xf numFmtId="41" fontId="0" fillId="6" borderId="70" xfId="0" applyNumberFormat="1" applyFill="1" applyBorder="1" applyAlignment="1" applyProtection="1"/>
    <xf numFmtId="0" fontId="22" fillId="0" borderId="0" xfId="0" applyFont="1"/>
    <xf numFmtId="0" fontId="25" fillId="0" borderId="0" xfId="0" applyFont="1"/>
    <xf numFmtId="41" fontId="0" fillId="6" borderId="6" xfId="0" applyNumberFormat="1" applyFill="1" applyBorder="1" applyAlignment="1" applyProtection="1"/>
    <xf numFmtId="41" fontId="0" fillId="6" borderId="7" xfId="0" applyNumberFormat="1" applyFill="1" applyBorder="1" applyAlignment="1" applyProtection="1"/>
    <xf numFmtId="41" fontId="0" fillId="6" borderId="48" xfId="0" applyNumberFormat="1" applyFill="1" applyBorder="1" applyAlignment="1" applyProtection="1"/>
    <xf numFmtId="43" fontId="0" fillId="0" borderId="20" xfId="1" applyFont="1" applyBorder="1"/>
    <xf numFmtId="43" fontId="1" fillId="0" borderId="20" xfId="1" applyFont="1" applyBorder="1"/>
    <xf numFmtId="166" fontId="28" fillId="8" borderId="66" xfId="1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14" xfId="1" applyNumberFormat="1" applyFont="1" applyFill="1" applyBorder="1" applyAlignment="1">
      <alignment horizontal="center" vertical="top"/>
    </xf>
    <xf numFmtId="0" fontId="1" fillId="0" borderId="11" xfId="0" applyFont="1" applyBorder="1"/>
    <xf numFmtId="43" fontId="0" fillId="0" borderId="11" xfId="1" applyNumberFormat="1" applyFont="1" applyFill="1" applyBorder="1" applyAlignment="1">
      <alignment horizontal="center"/>
    </xf>
    <xf numFmtId="166" fontId="28" fillId="8" borderId="11" xfId="1" applyNumberFormat="1" applyFont="1" applyFill="1" applyBorder="1" applyAlignment="1">
      <alignment horizontal="center"/>
    </xf>
    <xf numFmtId="43" fontId="0" fillId="0" borderId="46" xfId="1" applyNumberFormat="1" applyFont="1" applyFill="1" applyBorder="1" applyAlignment="1">
      <alignment horizontal="center"/>
    </xf>
    <xf numFmtId="0" fontId="1" fillId="0" borderId="48" xfId="0" applyFont="1" applyBorder="1"/>
    <xf numFmtId="43" fontId="0" fillId="0" borderId="48" xfId="1" applyNumberFormat="1" applyFont="1" applyFill="1" applyBorder="1" applyAlignment="1">
      <alignment horizontal="center"/>
    </xf>
    <xf numFmtId="166" fontId="28" fillId="8" borderId="48" xfId="1" applyNumberFormat="1" applyFont="1" applyFill="1" applyBorder="1" applyAlignment="1">
      <alignment horizontal="center"/>
    </xf>
    <xf numFmtId="43" fontId="0" fillId="0" borderId="49" xfId="1" applyNumberFormat="1" applyFont="1" applyFill="1" applyBorder="1" applyAlignment="1">
      <alignment horizontal="center"/>
    </xf>
    <xf numFmtId="0" fontId="1" fillId="0" borderId="12" xfId="0" applyFont="1" applyBorder="1"/>
    <xf numFmtId="43" fontId="0" fillId="0" borderId="10" xfId="1" applyNumberFormat="1" applyFont="1" applyFill="1" applyBorder="1" applyAlignment="1">
      <alignment horizontal="center"/>
    </xf>
    <xf numFmtId="43" fontId="0" fillId="0" borderId="47" xfId="1" applyNumberFormat="1" applyFont="1" applyFill="1" applyBorder="1" applyAlignment="1">
      <alignment horizontal="center"/>
    </xf>
    <xf numFmtId="166" fontId="1" fillId="0" borderId="62" xfId="1" applyNumberFormat="1" applyFont="1" applyFill="1" applyBorder="1" applyAlignment="1">
      <alignment horizontal="center" vertical="top"/>
    </xf>
    <xf numFmtId="0" fontId="1" fillId="0" borderId="51" xfId="0" applyFont="1" applyBorder="1"/>
    <xf numFmtId="43" fontId="0" fillId="0" borderId="50" xfId="1" applyNumberFormat="1" applyFont="1" applyFill="1" applyBorder="1" applyAlignment="1">
      <alignment horizontal="center"/>
    </xf>
    <xf numFmtId="43" fontId="0" fillId="0" borderId="51" xfId="1" applyNumberFormat="1" applyFont="1" applyFill="1" applyBorder="1" applyAlignment="1">
      <alignment horizontal="center"/>
    </xf>
    <xf numFmtId="166" fontId="28" fillId="8" borderId="51" xfId="1" applyNumberFormat="1" applyFont="1" applyFill="1" applyBorder="1" applyAlignment="1">
      <alignment horizontal="center"/>
    </xf>
    <xf numFmtId="43" fontId="0" fillId="0" borderId="52" xfId="1" applyNumberFormat="1" applyFont="1" applyFill="1" applyBorder="1" applyAlignment="1">
      <alignment horizontal="center"/>
    </xf>
    <xf numFmtId="0" fontId="1" fillId="0" borderId="76" xfId="0" applyFont="1" applyBorder="1"/>
    <xf numFmtId="0" fontId="1" fillId="0" borderId="77" xfId="0" applyFont="1" applyBorder="1"/>
    <xf numFmtId="0" fontId="0" fillId="0" borderId="78" xfId="0" applyBorder="1"/>
    <xf numFmtId="0" fontId="8" fillId="0" borderId="76" xfId="0" applyFont="1" applyFill="1" applyBorder="1" applyAlignment="1">
      <alignment horizontal="center" vertical="top"/>
    </xf>
    <xf numFmtId="0" fontId="8" fillId="0" borderId="77" xfId="0" applyFont="1" applyFill="1" applyBorder="1" applyAlignment="1">
      <alignment horizontal="center" vertical="top"/>
    </xf>
    <xf numFmtId="0" fontId="8" fillId="0" borderId="79" xfId="0" applyFont="1" applyFill="1" applyBorder="1" applyAlignment="1">
      <alignment horizontal="center" vertical="top"/>
    </xf>
    <xf numFmtId="0" fontId="1" fillId="0" borderId="83" xfId="0" applyFont="1" applyBorder="1"/>
    <xf numFmtId="0" fontId="0" fillId="0" borderId="84" xfId="0" applyBorder="1"/>
    <xf numFmtId="0" fontId="0" fillId="0" borderId="13" xfId="0" applyBorder="1"/>
    <xf numFmtId="0" fontId="1" fillId="0" borderId="13" xfId="0" applyFont="1" applyBorder="1"/>
    <xf numFmtId="0" fontId="0" fillId="0" borderId="85" xfId="0" applyBorder="1"/>
    <xf numFmtId="0" fontId="1" fillId="0" borderId="86" xfId="0" applyFont="1" applyBorder="1"/>
    <xf numFmtId="0" fontId="1" fillId="0" borderId="87" xfId="0" applyFont="1" applyBorder="1"/>
    <xf numFmtId="0" fontId="1" fillId="0" borderId="88" xfId="0" applyFont="1" applyBorder="1"/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63" xfId="0" applyBorder="1"/>
    <xf numFmtId="0" fontId="0" fillId="0" borderId="92" xfId="0" applyBorder="1"/>
    <xf numFmtId="0" fontId="0" fillId="0" borderId="93" xfId="0" applyBorder="1"/>
    <xf numFmtId="0" fontId="2" fillId="0" borderId="92" xfId="0" applyFont="1" applyBorder="1"/>
    <xf numFmtId="0" fontId="1" fillId="0" borderId="63" xfId="0" applyFont="1" applyBorder="1"/>
    <xf numFmtId="0" fontId="1" fillId="0" borderId="92" xfId="0" applyFont="1" applyBorder="1"/>
    <xf numFmtId="0" fontId="1" fillId="0" borderId="93" xfId="0" applyFont="1" applyBorder="1"/>
    <xf numFmtId="0" fontId="0" fillId="0" borderId="25" xfId="0" applyBorder="1"/>
    <xf numFmtId="0" fontId="0" fillId="0" borderId="94" xfId="0" applyBorder="1"/>
    <xf numFmtId="0" fontId="0" fillId="0" borderId="64" xfId="0" applyBorder="1"/>
    <xf numFmtId="0" fontId="1" fillId="0" borderId="22" xfId="0" applyFont="1" applyBorder="1"/>
    <xf numFmtId="0" fontId="1" fillId="0" borderId="40" xfId="0" applyFont="1" applyBorder="1"/>
    <xf numFmtId="0" fontId="1" fillId="0" borderId="95" xfId="0" applyFont="1" applyBorder="1"/>
    <xf numFmtId="0" fontId="11" fillId="0" borderId="2" xfId="0" applyFont="1" applyFill="1" applyBorder="1" applyAlignment="1">
      <alignment horizontal="left"/>
    </xf>
    <xf numFmtId="0" fontId="1" fillId="0" borderId="79" xfId="0" applyFont="1" applyBorder="1"/>
    <xf numFmtId="166" fontId="0" fillId="10" borderId="59" xfId="1" applyNumberFormat="1" applyFont="1" applyFill="1" applyBorder="1" applyAlignment="1">
      <alignment horizontal="center"/>
    </xf>
    <xf numFmtId="166" fontId="0" fillId="10" borderId="68" xfId="1" applyNumberFormat="1" applyFont="1" applyFill="1" applyBorder="1" applyAlignment="1">
      <alignment horizontal="center"/>
    </xf>
    <xf numFmtId="166" fontId="0" fillId="10" borderId="66" xfId="1" applyNumberFormat="1" applyFont="1" applyFill="1" applyBorder="1" applyAlignment="1">
      <alignment horizontal="center"/>
    </xf>
    <xf numFmtId="166" fontId="0" fillId="10" borderId="69" xfId="1" applyNumberFormat="1" applyFont="1" applyFill="1" applyBorder="1" applyAlignment="1">
      <alignment horizontal="center"/>
    </xf>
    <xf numFmtId="166" fontId="1" fillId="10" borderId="59" xfId="1" applyNumberFormat="1" applyFont="1" applyFill="1" applyBorder="1" applyAlignment="1">
      <alignment horizontal="center"/>
    </xf>
    <xf numFmtId="166" fontId="0" fillId="10" borderId="74" xfId="1" applyNumberFormat="1" applyFont="1" applyFill="1" applyBorder="1" applyAlignment="1">
      <alignment horizontal="center"/>
    </xf>
    <xf numFmtId="166" fontId="0" fillId="10" borderId="17" xfId="1" applyNumberFormat="1" applyFont="1" applyFill="1" applyBorder="1" applyAlignment="1">
      <alignment horizontal="center"/>
    </xf>
    <xf numFmtId="166" fontId="0" fillId="10" borderId="60" xfId="1" applyNumberFormat="1" applyFont="1" applyFill="1" applyBorder="1" applyAlignment="1">
      <alignment horizontal="left"/>
    </xf>
    <xf numFmtId="169" fontId="12" fillId="0" borderId="12" xfId="1" applyNumberFormat="1" applyFont="1" applyFill="1" applyBorder="1" applyAlignment="1" applyProtection="1">
      <alignment horizontal="right" vertical="center"/>
    </xf>
    <xf numFmtId="41" fontId="0" fillId="0" borderId="20" xfId="0" applyNumberFormat="1" applyFill="1" applyBorder="1" applyAlignment="1" applyProtection="1"/>
    <xf numFmtId="41" fontId="1" fillId="0" borderId="12" xfId="0" applyNumberFormat="1" applyFont="1" applyFill="1" applyBorder="1" applyAlignment="1" applyProtection="1"/>
    <xf numFmtId="41" fontId="1" fillId="0" borderId="46" xfId="0" applyNumberFormat="1" applyFont="1" applyFill="1" applyBorder="1" applyAlignment="1" applyProtection="1"/>
    <xf numFmtId="43" fontId="2" fillId="0" borderId="12" xfId="1" applyFont="1" applyFill="1" applyBorder="1"/>
    <xf numFmtId="165" fontId="1" fillId="0" borderId="14" xfId="3" applyNumberFormat="1" applyFont="1" applyFill="1" applyBorder="1" applyAlignment="1"/>
    <xf numFmtId="0" fontId="0" fillId="0" borderId="0" xfId="0" applyFill="1"/>
    <xf numFmtId="0" fontId="1" fillId="3" borderId="55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6" fontId="0" fillId="0" borderId="92" xfId="1" applyNumberFormat="1" applyFont="1" applyBorder="1"/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/>
    <xf numFmtId="166" fontId="1" fillId="0" borderId="97" xfId="1" applyNumberFormat="1" applyFont="1" applyBorder="1"/>
    <xf numFmtId="166" fontId="1" fillId="0" borderId="92" xfId="1" applyNumberFormat="1" applyFont="1" applyBorder="1"/>
    <xf numFmtId="43" fontId="0" fillId="0" borderId="0" xfId="0" applyNumberFormat="1"/>
    <xf numFmtId="0" fontId="2" fillId="0" borderId="28" xfId="0" applyFont="1" applyBorder="1"/>
    <xf numFmtId="43" fontId="1" fillId="0" borderId="28" xfId="1" applyFont="1" applyBorder="1"/>
    <xf numFmtId="43" fontId="1" fillId="0" borderId="0" xfId="1" applyFont="1" applyBorder="1"/>
    <xf numFmtId="43" fontId="1" fillId="0" borderId="4" xfId="1" applyFont="1" applyBorder="1"/>
    <xf numFmtId="43" fontId="2" fillId="0" borderId="28" xfId="1" applyFont="1" applyBorder="1"/>
    <xf numFmtId="41" fontId="0" fillId="0" borderId="85" xfId="0" applyNumberFormat="1" applyFill="1" applyBorder="1" applyAlignment="1" applyProtection="1"/>
    <xf numFmtId="165" fontId="1" fillId="0" borderId="1" xfId="3" applyNumberFormat="1" applyFont="1" applyBorder="1" applyAlignment="1"/>
    <xf numFmtId="0" fontId="4" fillId="0" borderId="0" xfId="0" applyFont="1" applyFill="1" applyBorder="1" applyAlignment="1">
      <alignment wrapText="1"/>
    </xf>
    <xf numFmtId="0" fontId="9" fillId="3" borderId="21" xfId="0" applyFont="1" applyFill="1" applyBorder="1" applyAlignment="1">
      <alignment horizontal="center" vertical="top" wrapText="1"/>
    </xf>
    <xf numFmtId="41" fontId="0" fillId="0" borderId="98" xfId="0" applyNumberFormat="1" applyFill="1" applyBorder="1" applyAlignment="1" applyProtection="1"/>
    <xf numFmtId="41" fontId="0" fillId="0" borderId="69" xfId="0" applyNumberFormat="1" applyFill="1" applyBorder="1" applyAlignment="1" applyProtection="1"/>
    <xf numFmtId="41" fontId="2" fillId="0" borderId="69" xfId="0" applyNumberFormat="1" applyFont="1" applyFill="1" applyBorder="1" applyAlignment="1" applyProtection="1"/>
    <xf numFmtId="41" fontId="1" fillId="6" borderId="69" xfId="0" applyNumberFormat="1" applyFont="1" applyFill="1" applyBorder="1" applyAlignment="1" applyProtection="1"/>
    <xf numFmtId="41" fontId="0" fillId="0" borderId="47" xfId="0" applyNumberFormat="1" applyFill="1" applyBorder="1" applyAlignment="1" applyProtection="1"/>
    <xf numFmtId="41" fontId="0" fillId="0" borderId="49" xfId="0" applyNumberFormat="1" applyFill="1" applyBorder="1" applyAlignment="1" applyProtection="1"/>
    <xf numFmtId="165" fontId="1" fillId="0" borderId="62" xfId="3" applyNumberFormat="1" applyFont="1" applyBorder="1" applyAlignment="1"/>
    <xf numFmtId="0" fontId="1" fillId="0" borderId="99" xfId="0" applyFont="1" applyFill="1" applyBorder="1" applyAlignment="1">
      <alignment horizontal="centerContinuous" wrapText="1"/>
    </xf>
    <xf numFmtId="0" fontId="1" fillId="0" borderId="43" xfId="0" applyFont="1" applyFill="1" applyBorder="1" applyAlignment="1">
      <alignment horizontal="centerContinuous" wrapText="1"/>
    </xf>
    <xf numFmtId="0" fontId="0" fillId="2" borderId="55" xfId="0" applyFill="1" applyBorder="1" applyAlignment="1"/>
    <xf numFmtId="0" fontId="5" fillId="2" borderId="42" xfId="0" applyFont="1" applyFill="1" applyBorder="1" applyAlignment="1"/>
    <xf numFmtId="0" fontId="0" fillId="2" borderId="43" xfId="0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0" fillId="0" borderId="100" xfId="0" pivotButton="1" applyBorder="1"/>
    <xf numFmtId="0" fontId="0" fillId="0" borderId="101" xfId="0" applyBorder="1"/>
    <xf numFmtId="0" fontId="0" fillId="0" borderId="102" xfId="0" applyBorder="1"/>
    <xf numFmtId="0" fontId="0" fillId="0" borderId="106" xfId="0" pivotButton="1" applyBorder="1"/>
    <xf numFmtId="0" fontId="0" fillId="0" borderId="106" xfId="0" applyBorder="1"/>
    <xf numFmtId="165" fontId="0" fillId="0" borderId="103" xfId="0" applyNumberFormat="1" applyBorder="1" applyAlignment="1">
      <alignment horizontal="center"/>
    </xf>
    <xf numFmtId="0" fontId="30" fillId="0" borderId="102" xfId="0" applyFont="1" applyBorder="1"/>
    <xf numFmtId="0" fontId="30" fillId="6" borderId="102" xfId="0" applyFont="1" applyFill="1" applyBorder="1"/>
    <xf numFmtId="0" fontId="30" fillId="9" borderId="104" xfId="0" applyFont="1" applyFill="1" applyBorder="1"/>
    <xf numFmtId="165" fontId="30" fillId="6" borderId="103" xfId="0" applyNumberFormat="1" applyFont="1" applyFill="1" applyBorder="1" applyAlignment="1">
      <alignment horizontal="center"/>
    </xf>
    <xf numFmtId="165" fontId="30" fillId="9" borderId="105" xfId="0" applyNumberFormat="1" applyFont="1" applyFill="1" applyBorder="1" applyAlignment="1">
      <alignment horizontal="center"/>
    </xf>
    <xf numFmtId="0" fontId="30" fillId="0" borderId="103" xfId="0" applyNumberFormat="1" applyFont="1" applyBorder="1" applyAlignment="1">
      <alignment horizontal="center"/>
    </xf>
    <xf numFmtId="0" fontId="31" fillId="0" borderId="100" xfId="0" applyFont="1" applyBorder="1"/>
    <xf numFmtId="0" fontId="31" fillId="0" borderId="102" xfId="0" applyFont="1" applyBorder="1"/>
    <xf numFmtId="0" fontId="31" fillId="0" borderId="101" xfId="0" applyNumberFormat="1" applyFont="1" applyBorder="1" applyAlignment="1">
      <alignment horizontal="center"/>
    </xf>
    <xf numFmtId="0" fontId="31" fillId="0" borderId="103" xfId="0" applyNumberFormat="1" applyFont="1" applyBorder="1" applyAlignment="1">
      <alignment horizontal="center"/>
    </xf>
  </cellXfs>
  <cellStyles count="11">
    <cellStyle name="Comma" xfId="1" builtinId="3"/>
    <cellStyle name="Comma 2" xfId="2"/>
    <cellStyle name="Currency" xfId="3" builtinId="4"/>
    <cellStyle name="Currency 2" xfId="4"/>
    <cellStyle name="Hyperlink 2" xfId="5"/>
    <cellStyle name="Normal" xfId="0" builtinId="0"/>
    <cellStyle name="Normal 2" xfId="6"/>
    <cellStyle name="Normal 2 2" xfId="7"/>
    <cellStyle name="Normal 3" xfId="8"/>
    <cellStyle name="Normal 4" xfId="9"/>
    <cellStyle name="Percent" xfId="10" builtinId="5"/>
  </cellStyles>
  <dxfs count="52">
    <dxf>
      <alignment horizontal="center" readingOrder="0"/>
    </dxf>
    <dxf>
      <numFmt numFmtId="33" formatCode="_(* #,##0_);_(* \(#,##0\);_(* &quot;-&quot;_);_(@_)"/>
    </dxf>
    <dxf>
      <font>
        <b/>
      </font>
    </dxf>
    <dxf>
      <font>
        <b/>
      </font>
    </dxf>
    <dxf>
      <font>
        <b/>
      </font>
    </dxf>
    <dxf>
      <numFmt numFmtId="33" formatCode="_(* #,##0_);_(* \(#,##0\);_(* &quot;-&quot;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/>
      </font>
    </dxf>
    <dxf>
      <font>
        <b/>
      </font>
    </dxf>
    <dxf>
      <numFmt numFmtId="33" formatCode="_(* #,##0_);_(* \(#,##0\);_(* &quot;-&quot;_);_(@_)"/>
      <fill>
        <patternFill>
          <bgColor indexed="64"/>
        </patternFill>
      </fill>
      <alignment horizontal="center" readingOrder="0"/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numFmt numFmtId="165" formatCode="_(&quot;$&quot;* #,##0_);_(&quot;$&quot;* \(#,##0\);_(&quot;$&quot;* &quot;-&quot;??_);_(@_)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(&quot;$&quot;* #,##0_);_(&quot;$&quot;* \(#,##0\);_(&quot;$&quot;* &quot;-&quot;??_);_(@_)"/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numFmt numFmtId="33" formatCode="_(* #,##0_);_(* \(#,##0\);_(* &quot;-&quot;_);_(@_)"/>
      <fill>
        <patternFill>
          <bgColor indexed="64"/>
        </patternFill>
      </fill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3" formatCode="_(* #,##0_);_(* \(#,##0\);_(* &quot;-&quot;_);_(@_)"/>
    </dxf>
    <dxf>
      <font>
        <b/>
      </font>
    </dxf>
    <dxf>
      <font>
        <b/>
      </font>
    </dxf>
    <dxf>
      <font>
        <b/>
      </font>
    </dxf>
    <dxf>
      <numFmt numFmtId="33" formatCode="_(* #,##0_);_(* \(#,##0\);_(* &quot;-&quot;_);_(@_)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urana Sadikhova" refreshedDate="42010.697128472224" createdVersion="5" refreshedVersion="5" minRefreshableVersion="3" recordCount="120">
  <cacheSource type="worksheet">
    <worksheetSource ref="C4:AJ124" sheet="2015 ASL"/>
  </cacheSource>
  <cacheFields count="34">
    <cacheField name="Country Office" numFmtId="0">
      <sharedItems count="121">
        <s v="Afghanistan - Kabul"/>
        <s v="Albania - Tirana"/>
        <s v="Algeria - Algiers"/>
        <s v="Angola - Luanda"/>
        <s v="Argentina - Buenos Aires"/>
        <s v="Armenia - Yerevan"/>
        <s v="Azerbaijan - Baku"/>
        <s v="Bangladesh - Dhaka"/>
        <s v="Benin - Cotonou"/>
        <s v="Bolivia - La Paz"/>
        <s v="Bosnia &amp; Herzegovina"/>
        <s v="Botswana - Gaborone"/>
        <s v="Brazil - Brasilia"/>
        <s v="Burkina Faso - Ouagadougou"/>
        <s v="Burundi - Bujumbura"/>
        <s v="Cambodia - Phnom-Penh"/>
        <s v="Cameroon - Yaounde"/>
        <s v="Central African Republic"/>
        <s v="Chad - N'Djamena"/>
        <s v="Chile - Santiago"/>
        <s v="China - Beijing"/>
        <s v="Colombia - Bogota"/>
        <s v="Comoros - Moroni"/>
        <s v="Congo - Brazzaville"/>
        <s v="Costa Rica -San Jose"/>
        <s v="Cote D'Ivoire - Abidjan"/>
        <s v="Dem. Rep. of the Congo"/>
        <s v="Djibouti - Djibouti"/>
        <s v="Dominican Republic"/>
        <s v="East Timor"/>
        <s v="Ecuador - Quito"/>
        <s v="Egypt - Cairo"/>
        <s v="El Salvador - San Salvador"/>
        <s v="Equatorial Guinea - Malabo"/>
        <s v="Eritrea - Asmara"/>
        <s v="Ethiopia - Addis Ababa"/>
        <s v="Fiji - Suva"/>
        <s v="Gabon - Libreville"/>
        <s v="Gambia - Banjul"/>
        <s v="Georgia - Tbilisi"/>
        <s v="Ghana - Accra"/>
        <s v="Guatemala - Guatemala City"/>
        <s v="Guinea - Conakry"/>
        <s v="Guinea-Bissau"/>
        <s v="Guyana - Georgetown"/>
        <s v="Haiti - Port-au-Prince"/>
        <s v="Honduras - Tegucigalpa"/>
        <s v="India - New Delhi"/>
        <s v="Indonesia - Jakarta"/>
        <s v="Iran - Teheran"/>
        <s v="Iraq -  Baghdad"/>
        <s v="Israel/West bank/Gaza"/>
        <s v="Jamaica - Kingston"/>
        <s v="Jordan - Amman"/>
        <s v="Kazakhstan - Alma Ata"/>
        <s v="Kenya - Nairobi"/>
        <s v="Kosovo - Pristina"/>
        <s v="Kuwait - Kuwait"/>
        <s v="Kyrgyzstan - Bishkek"/>
        <s v="Lao - Vientiane"/>
        <s v="Lebanon - Beirut"/>
        <s v="Lesotho - Maseru"/>
        <s v="Liberia - Monrovia"/>
        <s v="Libyan Arab Jamahiriya"/>
        <s v="Macedonia - Skopje"/>
        <s v="Madagascar - Antananarivo"/>
        <s v="Malawi - Lilongwe"/>
        <s v="Malaysia - Kuala Lumpur"/>
        <s v="Mali - Bamako"/>
        <s v="Mauritania - Nouakchott"/>
        <s v="Mexico - Mexico City"/>
        <s v="Moldova"/>
        <s v="Mongolia -Ulaan Baatar"/>
        <s v="Morocco - Rabat"/>
        <s v="Mozambique - Maputo"/>
        <s v="Myanmar - Yangon"/>
        <s v="Namibia - Windhoek"/>
        <s v="Nepal - Kathmandu"/>
        <s v="Nicaragua - Managua"/>
        <s v="Niger - Niamey"/>
        <s v="Nigeria - Lagos"/>
        <s v="Pakistan - Islamabad"/>
        <s v="Panama - Panama City"/>
        <s v="Papua New Guinea- Port Moresby"/>
        <s v="Peru - Lima"/>
        <s v="Philippines - Manila"/>
        <s v="Republic of Yemen - Sana'a"/>
        <s v="Russian Federation - Moscow"/>
        <s v="Rwanda - Kigali"/>
        <s v="Samoa - Apia"/>
        <s v="Saudi Arabia"/>
        <s v="Senegal - Dakar"/>
        <s v="Serbia - Belgrade"/>
        <s v="Sierra Leone - Freetown"/>
        <s v="Somalia - Mogadiscio"/>
        <s v="South Africa - Pretoria"/>
        <s v="South Sudan"/>
        <s v="Sri Lanka - Colombo"/>
        <s v="Sudan - Darfur"/>
        <s v="Sudan - Khartoum"/>
        <s v="Sudan Darfur and Khartoum"/>
        <s v="Swaziland - Mbabane"/>
        <s v="Syrian ArAB2"/>
        <s v="Tajikstan - Dushanbe"/>
        <s v="Thailand - Bangkok"/>
        <s v="Togo - Lome"/>
        <s v="Trinidad &amp; Tobago"/>
        <s v="Tunisia - Tunis"/>
        <s v="Turkey - Ankara"/>
        <s v="Turkmenistan - Ashgabad"/>
        <s v="Uganda - Kampala"/>
        <s v="Ukraine - Kiev"/>
        <s v="United Arab Emirates - Abu Dhabi"/>
        <s v="United Republic of Tanzania"/>
        <s v="Uruguay - Montevideo"/>
        <s v="Uzbekistan - Tashkent"/>
        <s v="Venezuela - Caracas"/>
        <s v="Vietnam - Hanoi"/>
        <s v="Zambia - Lusaka"/>
        <s v="Zimbabwe - Harare"/>
        <s v="Saudi ArAB2" u="1"/>
      </sharedItems>
    </cacheField>
    <cacheField name="By DRO" numFmtId="0">
      <sharedItems/>
    </cacheField>
    <cacheField name="BUDGET department" numFmtId="0">
      <sharedItems/>
    </cacheField>
    <cacheField name="D1" numFmtId="166">
      <sharedItems containsSemiMixedTypes="0" containsString="0" containsNumber="1" containsInteger="1" minValue="0" maxValue="1"/>
    </cacheField>
    <cacheField name="P5" numFmtId="166">
      <sharedItems containsSemiMixedTypes="0" containsString="0" containsNumber="1" containsInteger="1" minValue="0" maxValue="1"/>
    </cacheField>
    <cacheField name="P4" numFmtId="166">
      <sharedItems containsSemiMixedTypes="0" containsString="0" containsNumber="1" containsInteger="1" minValue="0" maxValue="10"/>
    </cacheField>
    <cacheField name="P3" numFmtId="166">
      <sharedItems containsSemiMixedTypes="0" containsString="0" containsNumber="1" containsInteger="1" minValue="0" maxValue="9"/>
    </cacheField>
    <cacheField name="P2" numFmtId="166">
      <sharedItems containsSemiMixedTypes="0" containsString="0" containsNumber="1" containsInteger="1" minValue="0" maxValue="1"/>
    </cacheField>
    <cacheField name="Total IP" numFmtId="166">
      <sharedItems containsSemiMixedTypes="0" containsString="0" containsNumber="1" containsInteger="1" minValue="0" maxValue="20"/>
    </cacheField>
    <cacheField name="GS" numFmtId="166">
      <sharedItems containsSemiMixedTypes="0" containsString="0" containsNumber="1" containsInteger="1" minValue="1" maxValue="23"/>
    </cacheField>
    <cacheField name="6X300 International Posts_x000a_(FCSO)" numFmtId="41">
      <sharedItems containsSemiMixedTypes="0" containsString="0" containsNumber="1" minValue="0" maxValue="4659950.9059555819"/>
    </cacheField>
    <cacheField name="6X200 General Service Posts_x000a_(LL)" numFmtId="41">
      <sharedItems containsSemiMixedTypes="0" containsString="0" containsNumber="1" minValue="18615.313023362691" maxValue="758982.29875892843"/>
    </cacheField>
    <cacheField name="77200 Temporary Appointment" numFmtId="41">
      <sharedItems containsNonDate="0" containsString="0" containsBlank="1"/>
    </cacheField>
    <cacheField name="Revision for payroll" numFmtId="0">
      <sharedItems containsNonDate="0" containsString="0" containsBlank="1"/>
    </cacheField>
    <cacheField name="66100  Overtime &amp; night differential" numFmtId="41">
      <sharedItems containsString="0" containsBlank="1" containsNumber="1" containsInteger="1" minValue="0" maxValue="10000"/>
    </cacheField>
    <cacheField name="71600 Other official travel of staff" numFmtId="41">
      <sharedItems containsString="0" containsBlank="1" containsNumber="1" containsInteger="1" minValue="0" maxValue="200000"/>
    </cacheField>
    <cacheField name="73100 Rent &amp; utilities premises" numFmtId="41">
      <sharedItems containsString="0" containsBlank="1" containsNumber="1" containsInteger="1" minValue="0" maxValue="385000"/>
    </cacheField>
    <cacheField name="73200 Premises Alteration" numFmtId="41">
      <sharedItems containsString="0" containsBlank="1" containsNumber="1" containsInteger="1" minValue="0" maxValue="0"/>
    </cacheField>
    <cacheField name="71400 Help desk SCs" numFmtId="0">
      <sharedItems containsString="0" containsBlank="1" containsNumber="1" containsInteger="1" minValue="0" maxValue="58000"/>
    </cacheField>
    <cacheField name="72400 Communications &amp; comm equipment" numFmtId="41">
      <sharedItems containsString="0" containsBlank="1" containsNumber="1" containsInteger="1" minValue="0" maxValue="132000"/>
    </cacheField>
    <cacheField name="73400 Maintenance of furniture and equipment (vehicle maint, garage &amp; parking)" numFmtId="41">
      <sharedItems containsString="0" containsBlank="1" containsNumber="1" containsInteger="1" minValue="0" maxValue="95000"/>
    </cacheField>
    <cacheField name="72300 Materials &amp; Goods (Only for land transportation fuel-72311)" numFmtId="41">
      <sharedItems containsString="0" containsBlank="1" containsNumber="1" containsInteger="1" minValue="0" maxValue="50000"/>
    </cacheField>
    <cacheField name="72500 Supplies and materials (stationary, subscriptions)" numFmtId="41">
      <sharedItems containsString="0" containsBlank="1" containsNumber="1" containsInteger="1" minValue="0" maxValue="20000"/>
    </cacheField>
    <cacheField name="72200 Office furniture &amp; equipment " numFmtId="41">
      <sharedItems containsString="0" containsBlank="1" containsNumber="1" containsInteger="1" minValue="0" maxValue="18600"/>
    </cacheField>
    <cacheField name="72800 Data processing equipment, IT supplies, MS licenses" numFmtId="41">
      <sharedItems containsString="0" containsBlank="1" containsNumber="1" containsInteger="1" minValue="0" maxValue="30500"/>
    </cacheField>
    <cacheField name="74500  Miscellaneous services (bank charges, insurance, sundry, storage)" numFmtId="41">
      <sharedItems containsString="0" containsBlank="1" containsNumber="1" containsInteger="1" minValue="0" maxValue="26500"/>
    </cacheField>
    <cacheField name="74700_x000a_Shipping" numFmtId="41">
      <sharedItems containsString="0" containsBlank="1" containsNumber="1" containsInteger="1" minValue="220000" maxValue="220000"/>
    </cacheField>
    <cacheField name="75700 - Adhoc training " numFmtId="41">
      <sharedItems containsString="0" containsBlank="1" containsNumber="1" containsInteger="1" minValue="4600" maxValue="4600"/>
    </cacheField>
    <cacheField name="72130-local transportation" numFmtId="41">
      <sharedItems containsNonDate="0" containsString="0" containsBlank="1"/>
    </cacheField>
    <cacheField name="74300" numFmtId="41">
      <sharedItems containsNonDate="0" containsString="0" containsBlank="1"/>
    </cacheField>
    <cacheField name="74200" numFmtId="41">
      <sharedItems containsNonDate="0" containsString="0" containsBlank="1"/>
    </cacheField>
    <cacheField name="STAFF COSTS" numFmtId="0">
      <sharedItems containsSemiMixedTypes="0" containsString="0" containsNumber="1" minValue="18615.313023362691" maxValue="4942632.5764746517"/>
    </cacheField>
    <cacheField name="General Operating Expenses" numFmtId="41">
      <sharedItems containsSemiMixedTypes="0" containsString="0" containsNumber="1" containsInteger="1" minValue="0" maxValue="661000"/>
    </cacheField>
    <cacheField name="Total per Country" numFmtId="41">
      <sharedItems containsSemiMixedTypes="0" containsString="0" containsNumber="1" minValue="18615.313023362691" maxValue="5589932.57647465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s v="ASIA/PACIFIC"/>
    <s v="B0390"/>
    <n v="1"/>
    <n v="0"/>
    <n v="7"/>
    <n v="5"/>
    <n v="0"/>
    <n v="13"/>
    <n v="16"/>
    <n v="3273329.8745040409"/>
    <n v="758982.29875892843"/>
    <m/>
    <m/>
    <n v="8000"/>
    <n v="60000"/>
    <n v="77500"/>
    <m/>
    <m/>
    <n v="132000"/>
    <n v="19000"/>
    <n v="30000"/>
    <n v="15000"/>
    <n v="1000"/>
    <n v="5000"/>
    <n v="3000"/>
    <m/>
    <m/>
    <m/>
    <m/>
    <m/>
    <n v="4040312.1732629696"/>
    <n v="342500"/>
    <n v="4382812.1732629696"/>
  </r>
  <r>
    <x v="1"/>
    <s v="EUROPE/AMERICAS"/>
    <s v="B0532"/>
    <n v="0"/>
    <n v="0"/>
    <n v="0"/>
    <n v="0"/>
    <n v="0"/>
    <n v="0"/>
    <n v="1"/>
    <n v="0"/>
    <n v="26752.264001027892"/>
    <m/>
    <m/>
    <n v="500"/>
    <n v="1500"/>
    <n v="10000"/>
    <m/>
    <m/>
    <n v="4000"/>
    <n v="1500"/>
    <n v="1500"/>
    <n v="1000"/>
    <n v="1000"/>
    <n v="400"/>
    <n v="900"/>
    <m/>
    <m/>
    <m/>
    <m/>
    <m/>
    <n v="27252.264001027892"/>
    <n v="21800"/>
    <n v="49052.264001027892"/>
  </r>
  <r>
    <x v="2"/>
    <s v="Africa"/>
    <s v="B0442"/>
    <n v="0"/>
    <n v="0"/>
    <n v="2"/>
    <n v="0"/>
    <n v="0"/>
    <n v="2"/>
    <n v="3"/>
    <n v="396753.05317419989"/>
    <n v="72349.880665166187"/>
    <m/>
    <m/>
    <n v="1500"/>
    <n v="6000"/>
    <n v="80000"/>
    <m/>
    <m/>
    <n v="8000"/>
    <n v="1600"/>
    <n v="700"/>
    <n v="1400"/>
    <n v="1000"/>
    <n v="500"/>
    <n v="600"/>
    <m/>
    <m/>
    <m/>
    <m/>
    <m/>
    <n v="470602.93383936607"/>
    <n v="99800"/>
    <n v="570402.93383936607"/>
  </r>
  <r>
    <x v="3"/>
    <s v="Africa"/>
    <s v="B0300"/>
    <n v="0"/>
    <n v="0"/>
    <n v="1"/>
    <n v="0"/>
    <n v="0"/>
    <n v="1"/>
    <n v="3"/>
    <n v="230686.3096649333"/>
    <n v="196708.39898303937"/>
    <m/>
    <m/>
    <n v="1500"/>
    <n v="8000"/>
    <n v="11000"/>
    <m/>
    <m/>
    <n v="14000"/>
    <n v="3000"/>
    <n v="1000"/>
    <n v="1000"/>
    <n v="1000"/>
    <n v="500"/>
    <n v="1800"/>
    <m/>
    <m/>
    <m/>
    <m/>
    <m/>
    <n v="428894.70864797267"/>
    <n v="41300"/>
    <n v="470194.70864797267"/>
  </r>
  <r>
    <x v="4"/>
    <s v="EUROPE/AMERICAS"/>
    <s v="B0480"/>
    <n v="0"/>
    <n v="0"/>
    <n v="1"/>
    <n v="0"/>
    <n v="0"/>
    <n v="1"/>
    <n v="2"/>
    <n v="181374.00567211665"/>
    <n v="103458.92811833588"/>
    <m/>
    <m/>
    <n v="1000"/>
    <n v="16000"/>
    <n v="40000"/>
    <m/>
    <m/>
    <n v="10000"/>
    <n v="3000"/>
    <n v="3000"/>
    <n v="2500"/>
    <n v="1000"/>
    <n v="500"/>
    <n v="1000"/>
    <m/>
    <m/>
    <m/>
    <m/>
    <m/>
    <n v="285832.93379045255"/>
    <n v="77000"/>
    <n v="362832.93379045255"/>
  </r>
  <r>
    <x v="5"/>
    <s v="EUROPE/AMERICAS"/>
    <s v="B0534"/>
    <n v="0"/>
    <n v="0"/>
    <n v="1"/>
    <n v="0"/>
    <n v="0"/>
    <n v="1"/>
    <n v="2"/>
    <n v="195836.98550035834"/>
    <n v="49048.999640516158"/>
    <m/>
    <m/>
    <n v="1000"/>
    <n v="6500"/>
    <n v="7800"/>
    <m/>
    <m/>
    <n v="2500"/>
    <n v="1500"/>
    <n v="2000"/>
    <n v="1000"/>
    <n v="1000"/>
    <n v="500"/>
    <n v="1400"/>
    <m/>
    <m/>
    <m/>
    <m/>
    <m/>
    <n v="245885.98514087449"/>
    <n v="24200"/>
    <n v="270085.98514087452"/>
  </r>
  <r>
    <x v="6"/>
    <s v="EUROPE/AMERICAS"/>
    <s v="B0538"/>
    <n v="0"/>
    <n v="0"/>
    <n v="1"/>
    <n v="0"/>
    <n v="0"/>
    <n v="1"/>
    <n v="2"/>
    <n v="209394.58693964165"/>
    <n v="93512.031829622065"/>
    <m/>
    <m/>
    <n v="1000"/>
    <n v="6500"/>
    <n v="5600"/>
    <m/>
    <m/>
    <n v="7500"/>
    <n v="1500"/>
    <n v="1500"/>
    <n v="1000"/>
    <n v="0"/>
    <n v="500"/>
    <n v="1600"/>
    <m/>
    <m/>
    <m/>
    <m/>
    <m/>
    <n v="303906.61876926373"/>
    <n v="25700"/>
    <n v="329606.61876926373"/>
  </r>
  <r>
    <x v="7"/>
    <s v="ASIA/PACIFIC"/>
    <s v="B0392"/>
    <n v="0"/>
    <n v="0"/>
    <n v="1"/>
    <n v="1"/>
    <n v="0"/>
    <n v="2"/>
    <n v="3"/>
    <n v="359060.63353305298"/>
    <n v="74676.405985199992"/>
    <m/>
    <m/>
    <n v="1500"/>
    <n v="6000"/>
    <n v="17500"/>
    <m/>
    <m/>
    <n v="3500"/>
    <n v="2300"/>
    <n v="2200"/>
    <n v="700"/>
    <n v="0"/>
    <n v="1300"/>
    <n v="500"/>
    <m/>
    <m/>
    <m/>
    <m/>
    <m/>
    <n v="435237.03951825295"/>
    <n v="34000"/>
    <n v="469237.03951825295"/>
  </r>
  <r>
    <x v="8"/>
    <s v="Africa"/>
    <s v="B0302"/>
    <n v="0"/>
    <n v="0"/>
    <n v="1"/>
    <n v="0"/>
    <n v="0"/>
    <n v="1"/>
    <n v="2"/>
    <n v="190160.1894949"/>
    <n v="61089.244772636528"/>
    <m/>
    <m/>
    <n v="1000"/>
    <n v="2000"/>
    <n v="14700"/>
    <m/>
    <m/>
    <n v="5000"/>
    <n v="1000"/>
    <n v="1000"/>
    <n v="1000"/>
    <n v="1000"/>
    <n v="500"/>
    <n v="500"/>
    <m/>
    <m/>
    <m/>
    <m/>
    <m/>
    <n v="252249.43426753653"/>
    <n v="26700"/>
    <n v="278949.4342675365"/>
  </r>
  <r>
    <x v="9"/>
    <s v="EUROPE/AMERICAS"/>
    <s v="B0486"/>
    <n v="0"/>
    <n v="0"/>
    <n v="1"/>
    <n v="0"/>
    <n v="0"/>
    <n v="1"/>
    <n v="2"/>
    <n v="182948.21073245001"/>
    <n v="81749.003769919524"/>
    <m/>
    <m/>
    <n v="1000"/>
    <n v="6000"/>
    <n v="16700"/>
    <m/>
    <m/>
    <n v="5500"/>
    <n v="2200"/>
    <n v="1300"/>
    <n v="1300"/>
    <n v="1000"/>
    <n v="500"/>
    <n v="2000"/>
    <m/>
    <m/>
    <m/>
    <m/>
    <m/>
    <n v="265697.21450236952"/>
    <n v="36500"/>
    <n v="302197.21450236952"/>
  </r>
  <r>
    <x v="10"/>
    <s v="EUROPE/AMERICAS"/>
    <s v="B0542"/>
    <n v="0"/>
    <n v="0"/>
    <n v="1"/>
    <n v="0"/>
    <n v="0"/>
    <n v="1"/>
    <n v="2"/>
    <n v="175348.04641024169"/>
    <n v="80855.439478693443"/>
    <m/>
    <m/>
    <n v="1000"/>
    <n v="18000"/>
    <n v="25600"/>
    <m/>
    <m/>
    <n v="4800"/>
    <n v="1400"/>
    <n v="4300"/>
    <n v="700"/>
    <n v="1000"/>
    <n v="500"/>
    <n v="700"/>
    <m/>
    <m/>
    <m/>
    <m/>
    <m/>
    <n v="257203.48588893513"/>
    <n v="57000"/>
    <n v="314203.48588893516"/>
  </r>
  <r>
    <x v="11"/>
    <s v="Africa"/>
    <s v="B0304"/>
    <n v="0"/>
    <n v="0"/>
    <n v="0"/>
    <n v="0"/>
    <n v="0"/>
    <n v="0"/>
    <n v="2"/>
    <n v="0"/>
    <n v="69792.725264463792"/>
    <m/>
    <m/>
    <n v="1000"/>
    <n v="1500"/>
    <n v="13350"/>
    <m/>
    <m/>
    <n v="4650"/>
    <n v="0"/>
    <n v="1500"/>
    <n v="1000"/>
    <n v="800"/>
    <n v="500"/>
    <n v="500"/>
    <m/>
    <m/>
    <m/>
    <m/>
    <m/>
    <n v="70792.725264463792"/>
    <n v="23800"/>
    <n v="94592.725264463792"/>
  </r>
  <r>
    <x v="12"/>
    <s v="EUROPE/AMERICAS"/>
    <s v="B0488"/>
    <n v="0"/>
    <n v="0"/>
    <n v="1"/>
    <n v="1"/>
    <n v="0"/>
    <n v="2"/>
    <n v="3"/>
    <n v="379518.42381358141"/>
    <n v="156711.81791592657"/>
    <m/>
    <m/>
    <n v="1500"/>
    <n v="25000"/>
    <n v="38000"/>
    <m/>
    <m/>
    <n v="12000"/>
    <n v="1500"/>
    <n v="4000"/>
    <n v="1200"/>
    <n v="1000"/>
    <n v="1000"/>
    <n v="4500"/>
    <m/>
    <m/>
    <m/>
    <m/>
    <m/>
    <n v="537730.24172950792"/>
    <n v="88200"/>
    <n v="625930.24172950792"/>
  </r>
  <r>
    <x v="13"/>
    <s v="Africa"/>
    <s v="B0306"/>
    <n v="0"/>
    <n v="0"/>
    <n v="1"/>
    <n v="0"/>
    <n v="0"/>
    <n v="1"/>
    <n v="2"/>
    <n v="185840.67117815002"/>
    <n v="64995.138956953015"/>
    <m/>
    <m/>
    <n v="1000"/>
    <n v="2000"/>
    <n v="12200"/>
    <m/>
    <m/>
    <n v="1500"/>
    <n v="1500"/>
    <n v="3000"/>
    <n v="1000"/>
    <n v="1000"/>
    <n v="500"/>
    <n v="700"/>
    <m/>
    <m/>
    <m/>
    <m/>
    <m/>
    <n v="251835.81013510303"/>
    <n v="23400"/>
    <n v="275235.81013510306"/>
  </r>
  <r>
    <x v="14"/>
    <s v="Africa"/>
    <s v="B0308"/>
    <n v="0"/>
    <n v="0"/>
    <n v="1"/>
    <n v="2"/>
    <n v="0"/>
    <n v="3"/>
    <n v="4"/>
    <n v="539147.04451813514"/>
    <n v="111380.5231886363"/>
    <m/>
    <m/>
    <n v="2500"/>
    <n v="4000"/>
    <n v="0"/>
    <m/>
    <m/>
    <n v="8500"/>
    <n v="3500"/>
    <n v="9000"/>
    <n v="2000"/>
    <m/>
    <n v="500"/>
    <n v="800"/>
    <m/>
    <m/>
    <m/>
    <m/>
    <m/>
    <n v="653027.56770677143"/>
    <n v="28300"/>
    <n v="681327.56770677143"/>
  </r>
  <r>
    <x v="15"/>
    <s v="ASIA/PACIFIC"/>
    <s v="B0396"/>
    <n v="0"/>
    <n v="0"/>
    <n v="1"/>
    <n v="1"/>
    <n v="0"/>
    <n v="2"/>
    <n v="3"/>
    <n v="336665.0056377491"/>
    <n v="78345.731142019504"/>
    <m/>
    <m/>
    <n v="1500"/>
    <n v="6000"/>
    <n v="28000"/>
    <m/>
    <m/>
    <n v="5000"/>
    <n v="1500"/>
    <n v="2000"/>
    <n v="2000"/>
    <n v="1000"/>
    <n v="1000"/>
    <n v="500"/>
    <m/>
    <m/>
    <m/>
    <m/>
    <m/>
    <n v="416510.7367797686"/>
    <n v="47000"/>
    <n v="463510.7367797686"/>
  </r>
  <r>
    <x v="16"/>
    <s v="Africa"/>
    <s v="B0310"/>
    <n v="0"/>
    <n v="0"/>
    <n v="1"/>
    <n v="0"/>
    <n v="0"/>
    <n v="1"/>
    <n v="2"/>
    <n v="190661.43858764999"/>
    <n v="65107.692615218941"/>
    <m/>
    <m/>
    <n v="1000"/>
    <n v="7000"/>
    <n v="10300"/>
    <m/>
    <m/>
    <n v="5500"/>
    <n v="3600"/>
    <n v="2250"/>
    <n v="500"/>
    <m/>
    <n v="500"/>
    <n v="1000"/>
    <m/>
    <m/>
    <m/>
    <m/>
    <m/>
    <n v="256769.13120286894"/>
    <n v="30650"/>
    <n v="287419.13120286894"/>
  </r>
  <r>
    <x v="17"/>
    <s v="Africa"/>
    <s v="B0314"/>
    <n v="0"/>
    <n v="1"/>
    <n v="1"/>
    <n v="2"/>
    <n v="0"/>
    <n v="4"/>
    <n v="3"/>
    <n v="1088329.653873476"/>
    <n v="103898.89156574989"/>
    <m/>
    <m/>
    <n v="2000"/>
    <n v="11000"/>
    <n v="16000"/>
    <m/>
    <m/>
    <n v="16000"/>
    <n v="3000"/>
    <n v="16000"/>
    <n v="3000"/>
    <n v="1000"/>
    <n v="1000"/>
    <n v="1500"/>
    <m/>
    <m/>
    <m/>
    <m/>
    <m/>
    <n v="1194228.5454392259"/>
    <n v="68500"/>
    <n v="1262728.5454392259"/>
  </r>
  <r>
    <x v="18"/>
    <s v="Africa"/>
    <s v="B0316"/>
    <n v="0"/>
    <n v="1"/>
    <n v="2"/>
    <n v="2"/>
    <n v="0"/>
    <n v="5"/>
    <n v="7"/>
    <n v="1278149.5164207758"/>
    <n v="172537.76426779607"/>
    <m/>
    <m/>
    <n v="3000"/>
    <n v="20000"/>
    <n v="82700"/>
    <m/>
    <m/>
    <n v="13100"/>
    <n v="10000"/>
    <n v="16800"/>
    <n v="3000"/>
    <n v="5000"/>
    <n v="2000"/>
    <n v="2500"/>
    <m/>
    <m/>
    <m/>
    <m/>
    <m/>
    <n v="1453687.2806885717"/>
    <n v="155100"/>
    <n v="1608787.2806885717"/>
  </r>
  <r>
    <x v="19"/>
    <s v="EUROPE/AMERICAS"/>
    <s v="B0490"/>
    <n v="0"/>
    <n v="0"/>
    <n v="0"/>
    <n v="0"/>
    <n v="0"/>
    <n v="0"/>
    <n v="1"/>
    <n v="0"/>
    <n v="66638.779298065798"/>
    <m/>
    <m/>
    <n v="500"/>
    <n v="1500"/>
    <n v="0"/>
    <m/>
    <m/>
    <n v="2000"/>
    <m/>
    <n v="2300"/>
    <n v="500"/>
    <n v="1000"/>
    <n v="0"/>
    <n v="650"/>
    <m/>
    <m/>
    <m/>
    <m/>
    <m/>
    <n v="67138.779298065798"/>
    <n v="7950"/>
    <n v="75088.779298065798"/>
  </r>
  <r>
    <x v="20"/>
    <s v="ASIA/PACIFIC"/>
    <s v="B0398"/>
    <n v="0"/>
    <n v="0"/>
    <n v="1"/>
    <n v="1"/>
    <n v="0"/>
    <n v="2"/>
    <n v="2"/>
    <n v="385116.84417650197"/>
    <n v="111534.61318627122"/>
    <m/>
    <m/>
    <n v="1000"/>
    <n v="8000"/>
    <n v="17200"/>
    <m/>
    <m/>
    <n v="10000"/>
    <n v="1000"/>
    <n v="4000"/>
    <n v="500"/>
    <n v="1000"/>
    <n v="1000"/>
    <n v="2000"/>
    <m/>
    <m/>
    <m/>
    <m/>
    <m/>
    <n v="497651.45736277319"/>
    <n v="44700"/>
    <n v="542351.45736277313"/>
  </r>
  <r>
    <x v="21"/>
    <s v="EUROPE/AMERICAS"/>
    <s v="B0492"/>
    <n v="0"/>
    <n v="1"/>
    <n v="3"/>
    <n v="3"/>
    <n v="0"/>
    <n v="7"/>
    <n v="8"/>
    <n v="1245396.9308462427"/>
    <n v="421456.36678241217"/>
    <m/>
    <m/>
    <n v="4000"/>
    <n v="90000"/>
    <n v="255600"/>
    <m/>
    <m/>
    <n v="40000"/>
    <n v="72200"/>
    <n v="25000"/>
    <n v="14000"/>
    <n v="2000"/>
    <n v="23000"/>
    <n v="16000"/>
    <m/>
    <m/>
    <m/>
    <m/>
    <m/>
    <n v="1670853.2976286549"/>
    <n v="537800"/>
    <n v="2208653.2976286551"/>
  </r>
  <r>
    <x v="22"/>
    <s v="Africa"/>
    <s v="B0318"/>
    <n v="0"/>
    <n v="0"/>
    <n v="0"/>
    <n v="0"/>
    <n v="0"/>
    <n v="0"/>
    <n v="1"/>
    <n v="0"/>
    <n v="27455.7642778347"/>
    <m/>
    <m/>
    <n v="1000"/>
    <n v="1000"/>
    <n v="1000"/>
    <m/>
    <m/>
    <n v="1500"/>
    <n v="500"/>
    <n v="0"/>
    <n v="500"/>
    <n v="0"/>
    <n v="0"/>
    <n v="0"/>
    <m/>
    <m/>
    <m/>
    <m/>
    <m/>
    <n v="28455.7642778347"/>
    <n v="4500"/>
    <n v="32955.7642778347"/>
  </r>
  <r>
    <x v="23"/>
    <s v="Africa"/>
    <s v="B0320"/>
    <n v="0"/>
    <n v="0"/>
    <n v="1"/>
    <n v="0"/>
    <n v="0"/>
    <n v="1"/>
    <n v="3"/>
    <n v="203500.87139204997"/>
    <n v="122076.84812408198"/>
    <m/>
    <m/>
    <n v="1500"/>
    <n v="4500"/>
    <n v="16500"/>
    <m/>
    <m/>
    <n v="13000"/>
    <n v="1200"/>
    <n v="1500"/>
    <n v="2000"/>
    <n v="500"/>
    <n v="500"/>
    <n v="800"/>
    <m/>
    <m/>
    <m/>
    <m/>
    <m/>
    <n v="327077.71951613197"/>
    <n v="40500"/>
    <n v="367577.71951613197"/>
  </r>
  <r>
    <x v="24"/>
    <s v="EUROPE/AMERICAS"/>
    <s v="B0494"/>
    <n v="0"/>
    <n v="0"/>
    <n v="0"/>
    <n v="0"/>
    <n v="0"/>
    <n v="0"/>
    <n v="1"/>
    <n v="0"/>
    <n v="37799.285821894096"/>
    <m/>
    <m/>
    <m/>
    <m/>
    <m/>
    <m/>
    <m/>
    <m/>
    <m/>
    <m/>
    <m/>
    <m/>
    <n v="0"/>
    <m/>
    <m/>
    <m/>
    <m/>
    <m/>
    <m/>
    <n v="37799.285821894096"/>
    <n v="0"/>
    <n v="37799.285821894096"/>
  </r>
  <r>
    <x v="25"/>
    <s v="POSS"/>
    <s v="B0322"/>
    <n v="0"/>
    <n v="1"/>
    <n v="2"/>
    <n v="0"/>
    <n v="1"/>
    <n v="4"/>
    <n v="5"/>
    <n v="790795.17638653796"/>
    <n v="161026.19265270577"/>
    <m/>
    <m/>
    <n v="2500"/>
    <n v="10000"/>
    <n v="11000"/>
    <m/>
    <m/>
    <n v="20000"/>
    <n v="18000"/>
    <n v="15000"/>
    <n v="3000"/>
    <n v="1000"/>
    <n v="2000"/>
    <n v="4500"/>
    <m/>
    <m/>
    <m/>
    <m/>
    <m/>
    <n v="954321.36903924379"/>
    <n v="84500"/>
    <n v="1038821.3690392438"/>
  </r>
  <r>
    <x v="26"/>
    <s v="POSS"/>
    <s v="B0324"/>
    <n v="1"/>
    <n v="0"/>
    <n v="5"/>
    <n v="1"/>
    <n v="0"/>
    <n v="7"/>
    <n v="12"/>
    <n v="1944093.1732987505"/>
    <n v="546273.41412807815"/>
    <m/>
    <m/>
    <n v="6000"/>
    <n v="40000"/>
    <n v="85000"/>
    <m/>
    <m/>
    <n v="18000"/>
    <n v="13000"/>
    <n v="20000"/>
    <n v="3000"/>
    <n v="1000"/>
    <n v="2000"/>
    <n v="14500"/>
    <m/>
    <m/>
    <m/>
    <m/>
    <m/>
    <n v="2496366.5874268287"/>
    <n v="196500"/>
    <n v="2692866.5874268287"/>
  </r>
  <r>
    <x v="27"/>
    <s v="Africa"/>
    <s v="B0446"/>
    <n v="0"/>
    <n v="0"/>
    <n v="1"/>
    <n v="0"/>
    <n v="0"/>
    <n v="1"/>
    <n v="2"/>
    <n v="195655.39982256669"/>
    <n v="64813.483206366378"/>
    <m/>
    <m/>
    <n v="1000"/>
    <n v="3000"/>
    <n v="8810"/>
    <m/>
    <m/>
    <n v="9000"/>
    <n v="1500"/>
    <n v="3500"/>
    <n v="1000"/>
    <n v="1000"/>
    <n v="500"/>
    <n v="1100"/>
    <m/>
    <m/>
    <m/>
    <m/>
    <m/>
    <n v="261468.88302893308"/>
    <n v="29410"/>
    <n v="290878.88302893308"/>
  </r>
  <r>
    <x v="28"/>
    <s v="EUROPE/AMERICAS"/>
    <s v="B0498"/>
    <n v="0"/>
    <n v="0"/>
    <n v="1"/>
    <n v="0"/>
    <n v="0"/>
    <n v="1"/>
    <n v="2"/>
    <n v="181454.35179560832"/>
    <n v="65829.153582174564"/>
    <m/>
    <m/>
    <n v="1000"/>
    <n v="8000"/>
    <n v="10000"/>
    <m/>
    <m/>
    <n v="4000"/>
    <n v="2000"/>
    <n v="4000"/>
    <n v="1000"/>
    <n v="700"/>
    <n v="500"/>
    <n v="1200"/>
    <m/>
    <m/>
    <m/>
    <m/>
    <m/>
    <n v="248283.50537778289"/>
    <n v="31400"/>
    <n v="279683.50537778286"/>
  </r>
  <r>
    <x v="29"/>
    <s v="POSS"/>
    <s v="B0402"/>
    <n v="0"/>
    <n v="0"/>
    <n v="1"/>
    <n v="1"/>
    <n v="0"/>
    <n v="2"/>
    <n v="4"/>
    <n v="389871.50434233551"/>
    <n v="75017.120401806256"/>
    <m/>
    <m/>
    <n v="1500"/>
    <n v="9000"/>
    <n v="12500"/>
    <m/>
    <m/>
    <n v="12400"/>
    <n v="3000"/>
    <n v="6000"/>
    <n v="1000"/>
    <n v="1000"/>
    <n v="1000"/>
    <n v="600"/>
    <m/>
    <m/>
    <m/>
    <m/>
    <m/>
    <n v="466388.62474414177"/>
    <n v="46500"/>
    <n v="512888.62474414177"/>
  </r>
  <r>
    <x v="30"/>
    <s v="EUROPE/AMERICAS"/>
    <s v="B0500"/>
    <n v="0"/>
    <n v="0"/>
    <n v="1"/>
    <n v="0"/>
    <n v="0"/>
    <n v="1"/>
    <n v="2"/>
    <n v="173339.39332294997"/>
    <n v="99618.799522369387"/>
    <m/>
    <m/>
    <n v="1000"/>
    <n v="5000"/>
    <n v="11500"/>
    <m/>
    <m/>
    <n v="5600"/>
    <n v="2000"/>
    <n v="1500"/>
    <n v="1000"/>
    <n v="1000"/>
    <n v="500"/>
    <n v="2000"/>
    <m/>
    <m/>
    <m/>
    <m/>
    <m/>
    <n v="273958.19284531934"/>
    <n v="30100"/>
    <n v="304058.19284531934"/>
  </r>
  <r>
    <x v="31"/>
    <s v="MIDDLE EAST"/>
    <s v="B0448"/>
    <n v="0"/>
    <n v="0"/>
    <n v="1"/>
    <n v="1"/>
    <n v="0"/>
    <n v="2"/>
    <n v="3"/>
    <n v="324649.73061610933"/>
    <n v="79949.943590052324"/>
    <m/>
    <m/>
    <n v="1500"/>
    <n v="6000"/>
    <n v="35000"/>
    <m/>
    <m/>
    <n v="11600"/>
    <n v="3500"/>
    <n v="1800"/>
    <n v="2000"/>
    <n v="1000"/>
    <n v="1000"/>
    <n v="2000"/>
    <m/>
    <m/>
    <m/>
    <m/>
    <m/>
    <n v="406099.67420616164"/>
    <n v="63900"/>
    <n v="469999.67420616164"/>
  </r>
  <r>
    <x v="32"/>
    <s v="EUROPE/AMERICAS"/>
    <s v="B0502"/>
    <n v="0"/>
    <n v="0"/>
    <n v="1"/>
    <n v="0"/>
    <n v="0"/>
    <n v="1"/>
    <n v="2"/>
    <n v="178770.21231088333"/>
    <n v="69277.206964299825"/>
    <m/>
    <m/>
    <n v="1000"/>
    <n v="4700"/>
    <n v="38000"/>
    <m/>
    <m/>
    <n v="7000"/>
    <n v="1700"/>
    <n v="1700"/>
    <n v="700"/>
    <n v="1000"/>
    <n v="500"/>
    <n v="2300"/>
    <m/>
    <m/>
    <m/>
    <m/>
    <m/>
    <n v="249047.41927518317"/>
    <n v="57600"/>
    <n v="306647.41927518317"/>
  </r>
  <r>
    <x v="33"/>
    <s v="Africa"/>
    <s v="B0326"/>
    <n v="0"/>
    <n v="0"/>
    <n v="1"/>
    <n v="0"/>
    <n v="0"/>
    <n v="1"/>
    <n v="2"/>
    <n v="206817.06021593331"/>
    <n v="64161.985589434531"/>
    <m/>
    <m/>
    <n v="1000"/>
    <n v="2700"/>
    <n v="29420"/>
    <m/>
    <m/>
    <n v="4500"/>
    <n v="400"/>
    <n v="1000"/>
    <n v="500"/>
    <n v="1000"/>
    <n v="500"/>
    <n v="1000"/>
    <m/>
    <m/>
    <m/>
    <m/>
    <m/>
    <n v="271979.04580536782"/>
    <n v="41020"/>
    <n v="312999.04580536782"/>
  </r>
  <r>
    <x v="34"/>
    <s v="Africa"/>
    <s v="B0328"/>
    <n v="0"/>
    <n v="0"/>
    <n v="0"/>
    <n v="0"/>
    <n v="0"/>
    <n v="0"/>
    <n v="2"/>
    <n v="0"/>
    <n v="39827.156456787743"/>
    <m/>
    <m/>
    <n v="1000"/>
    <n v="1000"/>
    <n v="0"/>
    <m/>
    <m/>
    <n v="1400"/>
    <n v="1000"/>
    <n v="1000"/>
    <n v="500"/>
    <n v="0"/>
    <n v="500"/>
    <n v="500"/>
    <m/>
    <m/>
    <m/>
    <m/>
    <m/>
    <n v="40827.156456787743"/>
    <n v="5900"/>
    <n v="46727.156456787743"/>
  </r>
  <r>
    <x v="35"/>
    <s v="Africa"/>
    <s v="B0330"/>
    <n v="0"/>
    <n v="0"/>
    <n v="1"/>
    <n v="2"/>
    <n v="0"/>
    <n v="3"/>
    <n v="4"/>
    <n v="521272.59998299298"/>
    <n v="87370.280645092309"/>
    <m/>
    <m/>
    <n v="2000"/>
    <n v="20000"/>
    <n v="30600"/>
    <m/>
    <m/>
    <n v="10000"/>
    <n v="6500"/>
    <n v="5500"/>
    <n v="1500"/>
    <n v="1000"/>
    <n v="2000"/>
    <n v="2000"/>
    <m/>
    <m/>
    <m/>
    <m/>
    <m/>
    <n v="610642.88062808523"/>
    <n v="79100"/>
    <n v="689742.88062808523"/>
  </r>
  <r>
    <x v="36"/>
    <s v="ASIA/PACIFIC"/>
    <s v="B0404"/>
    <n v="0"/>
    <n v="0"/>
    <n v="1"/>
    <n v="1"/>
    <n v="0"/>
    <n v="2"/>
    <n v="2"/>
    <n v="340463.06726579339"/>
    <n v="56000.159246126546"/>
    <m/>
    <m/>
    <n v="1500"/>
    <n v="5000"/>
    <n v="12100"/>
    <m/>
    <m/>
    <n v="10300"/>
    <n v="2000"/>
    <n v="1400"/>
    <n v="1300"/>
    <n v="1000"/>
    <n v="1000"/>
    <n v="800"/>
    <m/>
    <m/>
    <m/>
    <m/>
    <m/>
    <n v="397963.22651191993"/>
    <n v="34900"/>
    <n v="432863.22651191993"/>
  </r>
  <r>
    <x v="37"/>
    <s v="Africa"/>
    <s v="B0332"/>
    <n v="0"/>
    <n v="0"/>
    <n v="1"/>
    <n v="0"/>
    <n v="0"/>
    <n v="1"/>
    <n v="2"/>
    <n v="187399.96493399164"/>
    <n v="76761.892196834597"/>
    <m/>
    <m/>
    <n v="1000"/>
    <n v="4000"/>
    <n v="12000"/>
    <m/>
    <m/>
    <n v="6000"/>
    <n v="1000"/>
    <n v="2000"/>
    <n v="700"/>
    <n v="500"/>
    <n v="500"/>
    <n v="500"/>
    <m/>
    <m/>
    <m/>
    <m/>
    <m/>
    <n v="265161.85713082622"/>
    <n v="27200"/>
    <n v="292361.85713082622"/>
  </r>
  <r>
    <x v="38"/>
    <s v="Africa"/>
    <s v="B0334"/>
    <n v="0"/>
    <n v="0"/>
    <n v="0"/>
    <n v="0"/>
    <n v="0"/>
    <n v="0"/>
    <n v="2"/>
    <n v="0"/>
    <n v="25436.120214510156"/>
    <m/>
    <m/>
    <n v="1000"/>
    <n v="2000"/>
    <n v="5000"/>
    <m/>
    <m/>
    <n v="1200"/>
    <n v="1500"/>
    <n v="1500"/>
    <n v="300"/>
    <n v="0"/>
    <n v="500"/>
    <n v="500"/>
    <m/>
    <m/>
    <m/>
    <m/>
    <m/>
    <n v="26436.120214510156"/>
    <n v="12500"/>
    <n v="38936.120214510156"/>
  </r>
  <r>
    <x v="39"/>
    <s v="EUROPE/AMERICAS"/>
    <s v="B0550"/>
    <n v="0"/>
    <n v="0"/>
    <n v="1"/>
    <n v="1"/>
    <n v="0"/>
    <n v="2"/>
    <n v="3"/>
    <n v="354462.855620772"/>
    <n v="99194.478215054187"/>
    <m/>
    <m/>
    <n v="1500"/>
    <n v="7000"/>
    <n v="24900"/>
    <m/>
    <m/>
    <n v="5500"/>
    <n v="5000"/>
    <n v="8500"/>
    <n v="1500"/>
    <n v="1000"/>
    <n v="1000"/>
    <n v="2800"/>
    <m/>
    <m/>
    <m/>
    <m/>
    <m/>
    <n v="455157.3338358262"/>
    <n v="57200"/>
    <n v="512357.3338358262"/>
  </r>
  <r>
    <x v="40"/>
    <s v="Africa"/>
    <s v="B0336"/>
    <n v="0"/>
    <n v="0"/>
    <n v="1"/>
    <n v="0"/>
    <n v="0"/>
    <n v="1"/>
    <n v="2"/>
    <n v="187286.90140099998"/>
    <n v="37237.544238486415"/>
    <m/>
    <m/>
    <n v="1000"/>
    <n v="10000"/>
    <n v="10300"/>
    <m/>
    <m/>
    <n v="6500"/>
    <n v="2500"/>
    <n v="3000"/>
    <n v="1000"/>
    <n v="0"/>
    <n v="500"/>
    <n v="500"/>
    <m/>
    <m/>
    <m/>
    <m/>
    <m/>
    <n v="225524.4456394864"/>
    <n v="34300"/>
    <n v="259824.4456394864"/>
  </r>
  <r>
    <x v="41"/>
    <s v="EUROPE/AMERICAS"/>
    <s v="B0504"/>
    <n v="0"/>
    <n v="0"/>
    <n v="1"/>
    <n v="1"/>
    <n v="0"/>
    <n v="2"/>
    <n v="3"/>
    <n v="344840.88853154914"/>
    <n v="134260.67584139085"/>
    <m/>
    <m/>
    <n v="1500"/>
    <n v="12000"/>
    <n v="47700"/>
    <m/>
    <m/>
    <n v="6000"/>
    <n v="3000"/>
    <n v="4500"/>
    <n v="2300"/>
    <n v="1000"/>
    <n v="2000"/>
    <n v="2500"/>
    <m/>
    <m/>
    <m/>
    <m/>
    <m/>
    <n v="480601.56437293999"/>
    <n v="81000"/>
    <n v="561601.56437293999"/>
  </r>
  <r>
    <x v="42"/>
    <s v="Africa"/>
    <s v="B0338"/>
    <n v="0"/>
    <n v="0"/>
    <n v="1"/>
    <n v="0"/>
    <n v="0"/>
    <n v="1"/>
    <n v="2"/>
    <n v="218101.83635364164"/>
    <n v="45749.380618522096"/>
    <m/>
    <m/>
    <n v="1500"/>
    <n v="8000"/>
    <n v="21300"/>
    <m/>
    <m/>
    <n v="12000"/>
    <n v="3000"/>
    <n v="3500"/>
    <n v="1000"/>
    <n v="500"/>
    <n v="500"/>
    <n v="500"/>
    <m/>
    <m/>
    <m/>
    <m/>
    <m/>
    <n v="265351.21697216376"/>
    <n v="50300"/>
    <n v="315651.21697216376"/>
  </r>
  <r>
    <x v="43"/>
    <s v="Africa"/>
    <s v="B0340"/>
    <n v="0"/>
    <n v="0"/>
    <n v="1"/>
    <n v="0"/>
    <n v="0"/>
    <n v="1"/>
    <n v="2"/>
    <n v="210788.99166983334"/>
    <n v="76363.830399112281"/>
    <m/>
    <m/>
    <n v="1000"/>
    <n v="11500"/>
    <n v="23900"/>
    <m/>
    <m/>
    <n v="3000"/>
    <n v="1500"/>
    <n v="3000"/>
    <n v="700"/>
    <n v="500"/>
    <n v="500"/>
    <n v="500"/>
    <m/>
    <m/>
    <m/>
    <m/>
    <m/>
    <n v="288152.82206894562"/>
    <n v="45100"/>
    <n v="333252.82206894562"/>
  </r>
  <r>
    <x v="44"/>
    <s v="EUROPE/AMERICAS"/>
    <s v="B0506"/>
    <n v="0"/>
    <n v="0"/>
    <n v="1"/>
    <n v="0"/>
    <n v="0"/>
    <n v="1"/>
    <n v="2"/>
    <n v="188665.28707879165"/>
    <n v="45094.401579334532"/>
    <m/>
    <m/>
    <n v="1000"/>
    <n v="7000"/>
    <n v="23500"/>
    <m/>
    <m/>
    <n v="6000"/>
    <n v="700"/>
    <n v="1000"/>
    <n v="1000"/>
    <n v="1000"/>
    <n v="500"/>
    <n v="500"/>
    <m/>
    <m/>
    <m/>
    <m/>
    <m/>
    <n v="234759.68865812616"/>
    <n v="41200"/>
    <n v="275959.68865812616"/>
  </r>
  <r>
    <x v="45"/>
    <s v="POSS"/>
    <s v="B0508"/>
    <n v="0"/>
    <n v="1"/>
    <n v="1"/>
    <n v="1"/>
    <n v="0"/>
    <n v="3"/>
    <n v="5"/>
    <n v="745661.49427209923"/>
    <n v="165206.09623568022"/>
    <m/>
    <m/>
    <n v="2000"/>
    <n v="3000"/>
    <m/>
    <m/>
    <m/>
    <n v="10000"/>
    <n v="3000"/>
    <n v="1500"/>
    <n v="2000"/>
    <n v="1000"/>
    <n v="1000"/>
    <n v="500"/>
    <m/>
    <m/>
    <m/>
    <m/>
    <m/>
    <n v="912867.5905077795"/>
    <n v="22000"/>
    <n v="934867.5905077795"/>
  </r>
  <r>
    <x v="46"/>
    <s v="EUROPE/AMERICAS"/>
    <s v="B0510"/>
    <n v="0"/>
    <n v="0"/>
    <n v="1"/>
    <n v="0"/>
    <n v="0"/>
    <n v="1"/>
    <n v="3"/>
    <n v="174223.20068135834"/>
    <n v="98110.835565062283"/>
    <m/>
    <m/>
    <n v="1000"/>
    <n v="8000"/>
    <n v="7800"/>
    <m/>
    <m/>
    <n v="4200"/>
    <n v="1700"/>
    <n v="3800"/>
    <n v="1000"/>
    <n v="1000"/>
    <n v="500"/>
    <n v="1000"/>
    <m/>
    <m/>
    <m/>
    <m/>
    <m/>
    <n v="273334.03624642064"/>
    <n v="29000"/>
    <n v="302334.03624642064"/>
  </r>
  <r>
    <x v="47"/>
    <s v="ASIA/PACIFIC"/>
    <s v="B0406"/>
    <n v="0"/>
    <n v="1"/>
    <n v="1"/>
    <n v="1"/>
    <n v="0"/>
    <n v="3"/>
    <n v="4"/>
    <n v="556741.85202096379"/>
    <n v="100532.45774487771"/>
    <m/>
    <m/>
    <n v="2000"/>
    <n v="25000"/>
    <n v="27000"/>
    <m/>
    <m/>
    <n v="6000"/>
    <n v="4500"/>
    <n v="7000"/>
    <n v="3000"/>
    <n v="1000"/>
    <n v="1500"/>
    <n v="2000"/>
    <m/>
    <m/>
    <m/>
    <m/>
    <m/>
    <n v="659274.30976584146"/>
    <n v="77000"/>
    <n v="736274.30976584146"/>
  </r>
  <r>
    <x v="48"/>
    <s v="ASIA/PACIFIC"/>
    <s v="B0408"/>
    <n v="0"/>
    <n v="1"/>
    <n v="2"/>
    <n v="2"/>
    <n v="0"/>
    <n v="5"/>
    <n v="9"/>
    <n v="896782.75698761037"/>
    <n v="259205.22837799764"/>
    <m/>
    <m/>
    <n v="4500"/>
    <n v="70000"/>
    <n v="130000"/>
    <m/>
    <m/>
    <n v="36000"/>
    <n v="5000"/>
    <n v="9000"/>
    <n v="8000"/>
    <n v="1000"/>
    <n v="2000"/>
    <n v="6000"/>
    <m/>
    <m/>
    <m/>
    <m/>
    <m/>
    <n v="1160487.985365608"/>
    <n v="267000"/>
    <n v="1427487.985365608"/>
  </r>
  <r>
    <x v="49"/>
    <s v="MIDDLE EAST"/>
    <s v="B0410"/>
    <n v="0"/>
    <n v="0"/>
    <n v="1"/>
    <n v="0"/>
    <n v="1"/>
    <n v="2"/>
    <n v="4"/>
    <n v="355113.83954257378"/>
    <n v="172317.12121857898"/>
    <m/>
    <m/>
    <n v="1500"/>
    <n v="5000"/>
    <n v="35000"/>
    <m/>
    <m/>
    <n v="14000"/>
    <n v="2000"/>
    <n v="1500"/>
    <n v="1500"/>
    <n v="1000"/>
    <n v="1000"/>
    <n v="3000"/>
    <m/>
    <m/>
    <m/>
    <m/>
    <m/>
    <n v="528930.96076115279"/>
    <n v="64000"/>
    <n v="592930.96076115279"/>
  </r>
  <r>
    <x v="50"/>
    <s v="MIDDLE EAST"/>
    <s v="B0450"/>
    <n v="0"/>
    <n v="1"/>
    <n v="5"/>
    <n v="2"/>
    <n v="0"/>
    <n v="8"/>
    <n v="6"/>
    <n v="2022318.9363588456"/>
    <n v="276710.00040858798"/>
    <m/>
    <m/>
    <n v="3000"/>
    <n v="86400"/>
    <n v="181200"/>
    <m/>
    <m/>
    <n v="56300"/>
    <n v="9600"/>
    <n v="37500"/>
    <n v="3000"/>
    <n v="18600"/>
    <n v="11300"/>
    <n v="6000"/>
    <m/>
    <n v="4600"/>
    <m/>
    <m/>
    <m/>
    <n v="2302028.9367674338"/>
    <n v="414500"/>
    <n v="2716528.9367674338"/>
  </r>
  <r>
    <x v="51"/>
    <s v="MIDDLE EAST"/>
    <s v="B0700"/>
    <n v="0"/>
    <n v="1"/>
    <n v="3"/>
    <n v="1"/>
    <n v="1"/>
    <n v="6"/>
    <n v="6"/>
    <n v="1443897.0091823007"/>
    <n v="345392.86604385328"/>
    <m/>
    <m/>
    <n v="3500"/>
    <n v="12000"/>
    <n v="35000"/>
    <m/>
    <m/>
    <n v="50000"/>
    <n v="12000"/>
    <n v="14000"/>
    <n v="2300"/>
    <n v="1000"/>
    <n v="2000"/>
    <n v="15000"/>
    <m/>
    <m/>
    <m/>
    <m/>
    <m/>
    <n v="1792789.875226154"/>
    <n v="143300"/>
    <n v="1936089.875226154"/>
  </r>
  <r>
    <x v="52"/>
    <s v="EUROPE/AMERICAS"/>
    <s v="B0512"/>
    <n v="0"/>
    <n v="0"/>
    <n v="1"/>
    <n v="0"/>
    <n v="0"/>
    <n v="1"/>
    <n v="2"/>
    <n v="186885.17078354169"/>
    <n v="59161.45357975729"/>
    <m/>
    <m/>
    <n v="1000"/>
    <n v="16500"/>
    <n v="8000"/>
    <m/>
    <m/>
    <n v="4000"/>
    <n v="2000"/>
    <n v="1500"/>
    <n v="1000"/>
    <n v="1000"/>
    <n v="500"/>
    <n v="1000"/>
    <m/>
    <m/>
    <m/>
    <m/>
    <m/>
    <n v="247046.62436329899"/>
    <n v="35500"/>
    <n v="282546.62436329899"/>
  </r>
  <r>
    <x v="53"/>
    <s v="MIDDLE EAST"/>
    <s v="B0452"/>
    <n v="0"/>
    <n v="1"/>
    <n v="2"/>
    <n v="2"/>
    <n v="0"/>
    <n v="5"/>
    <n v="6"/>
    <n v="902753.11273238971"/>
    <n v="222559.62629079877"/>
    <m/>
    <m/>
    <n v="2000"/>
    <n v="4000"/>
    <n v="51000"/>
    <m/>
    <m/>
    <n v="15000"/>
    <n v="2500"/>
    <n v="10000"/>
    <n v="1200"/>
    <n v="1000"/>
    <n v="1500"/>
    <n v="500"/>
    <m/>
    <m/>
    <m/>
    <m/>
    <m/>
    <n v="1127312.7390231886"/>
    <n v="86700"/>
    <n v="1214012.7390231886"/>
  </r>
  <r>
    <x v="54"/>
    <s v="ASIA/PACIFIC"/>
    <s v="B0552"/>
    <n v="0"/>
    <n v="0"/>
    <n v="1"/>
    <n v="0"/>
    <n v="0"/>
    <n v="1"/>
    <n v="2"/>
    <n v="183269.59522641666"/>
    <n v="68493.402446205422"/>
    <m/>
    <m/>
    <n v="1000"/>
    <n v="18000"/>
    <n v="17000"/>
    <n v="0"/>
    <m/>
    <n v="2900"/>
    <n v="500"/>
    <n v="2000"/>
    <n v="1000"/>
    <n v="1000"/>
    <n v="1000"/>
    <n v="1000"/>
    <m/>
    <m/>
    <m/>
    <m/>
    <m/>
    <n v="252762.99767262209"/>
    <n v="44400"/>
    <n v="297162.99767262209"/>
  </r>
  <r>
    <x v="55"/>
    <s v="Africa"/>
    <s v="B0342"/>
    <n v="0"/>
    <n v="0"/>
    <n v="6"/>
    <n v="3"/>
    <n v="0"/>
    <n v="9"/>
    <n v="6"/>
    <n v="1635151.5381505631"/>
    <n v="214914.29953121691"/>
    <m/>
    <m/>
    <n v="2500"/>
    <n v="71500"/>
    <n v="35000"/>
    <m/>
    <m/>
    <n v="23000"/>
    <n v="13000"/>
    <n v="10000"/>
    <n v="2000"/>
    <n v="2000"/>
    <n v="2000"/>
    <n v="1500"/>
    <m/>
    <m/>
    <m/>
    <m/>
    <m/>
    <n v="1852565.8376817801"/>
    <n v="160000"/>
    <n v="2012565.8376817801"/>
  </r>
  <r>
    <x v="56"/>
    <s v="POSS"/>
    <s v="B0554"/>
    <n v="0"/>
    <n v="0"/>
    <n v="1"/>
    <n v="0"/>
    <n v="0"/>
    <n v="1"/>
    <n v="2"/>
    <n v="180228.94411216668"/>
    <n v="74943.977661045879"/>
    <m/>
    <m/>
    <n v="1000"/>
    <n v="500"/>
    <n v="16400"/>
    <m/>
    <m/>
    <n v="3000"/>
    <n v="1500"/>
    <n v="1500"/>
    <n v="1200"/>
    <n v="1000"/>
    <n v="700"/>
    <n v="800"/>
    <m/>
    <m/>
    <m/>
    <m/>
    <m/>
    <n v="256172.92177321255"/>
    <n v="26600"/>
    <n v="282772.92177321255"/>
  </r>
  <r>
    <x v="57"/>
    <s v="MIDDLE EAST"/>
    <s v="B0454"/>
    <n v="0"/>
    <n v="0"/>
    <n v="1"/>
    <n v="0"/>
    <n v="0"/>
    <n v="1"/>
    <n v="2"/>
    <n v="196526.70560254165"/>
    <n v="146201.77853449254"/>
    <m/>
    <m/>
    <n v="1000"/>
    <n v="2000"/>
    <n v="10000"/>
    <m/>
    <m/>
    <n v="5500"/>
    <n v="1000"/>
    <n v="500"/>
    <n v="1000"/>
    <n v="1000"/>
    <n v="500"/>
    <n v="500"/>
    <m/>
    <m/>
    <m/>
    <m/>
    <m/>
    <n v="343728.48413703416"/>
    <n v="22000"/>
    <n v="365728.48413703416"/>
  </r>
  <r>
    <x v="58"/>
    <s v="ASIA/PACIFIC"/>
    <s v="B0556"/>
    <n v="0"/>
    <n v="0"/>
    <n v="1"/>
    <n v="1"/>
    <n v="0"/>
    <n v="2"/>
    <n v="4"/>
    <n v="349271.8160423903"/>
    <n v="88599.129046256872"/>
    <m/>
    <m/>
    <n v="1500"/>
    <n v="9000"/>
    <n v="12000"/>
    <m/>
    <m/>
    <n v="7000"/>
    <n v="1800"/>
    <n v="3000"/>
    <n v="1500"/>
    <n v="1000"/>
    <n v="2000"/>
    <n v="1900"/>
    <m/>
    <m/>
    <m/>
    <m/>
    <m/>
    <n v="439370.94508864719"/>
    <n v="39200"/>
    <n v="478570.94508864719"/>
  </r>
  <r>
    <x v="59"/>
    <s v="ASIA/PACIFIC"/>
    <s v="B0412"/>
    <n v="0"/>
    <n v="0"/>
    <n v="0"/>
    <n v="0"/>
    <n v="0"/>
    <n v="0"/>
    <n v="2"/>
    <n v="0"/>
    <n v="29286.594253637471"/>
    <m/>
    <m/>
    <n v="1000"/>
    <n v="5000"/>
    <n v="3500"/>
    <m/>
    <m/>
    <n v="5000"/>
    <n v="1000"/>
    <n v="1200"/>
    <n v="700"/>
    <n v="500"/>
    <n v="500"/>
    <n v="500"/>
    <m/>
    <m/>
    <m/>
    <m/>
    <m/>
    <n v="30286.594253637471"/>
    <n v="17900"/>
    <n v="48186.594253637471"/>
  </r>
  <r>
    <x v="60"/>
    <s v="MIDDLE EAST"/>
    <s v="B0456"/>
    <n v="0"/>
    <n v="1"/>
    <n v="1"/>
    <n v="3"/>
    <n v="0"/>
    <n v="5"/>
    <n v="5"/>
    <n v="898482.49779795716"/>
    <n v="343436.41243467742"/>
    <m/>
    <m/>
    <n v="2000"/>
    <n v="3000"/>
    <n v="50000"/>
    <m/>
    <m/>
    <n v="25600"/>
    <n v="6000"/>
    <n v="16200"/>
    <n v="1000"/>
    <n v="1000"/>
    <n v="1000"/>
    <n v="3500"/>
    <m/>
    <m/>
    <m/>
    <m/>
    <m/>
    <n v="1243918.9102326345"/>
    <n v="107300"/>
    <n v="1351218.9102326345"/>
  </r>
  <r>
    <x v="61"/>
    <s v="Africa"/>
    <s v="B0344"/>
    <n v="0"/>
    <n v="0"/>
    <n v="0"/>
    <n v="0"/>
    <n v="0"/>
    <n v="0"/>
    <n v="1"/>
    <n v="0"/>
    <n v="21720.915913317174"/>
    <m/>
    <m/>
    <n v="1000"/>
    <n v="3000"/>
    <n v="2200"/>
    <m/>
    <m/>
    <n v="1800"/>
    <n v="500"/>
    <n v="1000"/>
    <n v="500"/>
    <n v="0"/>
    <n v="0"/>
    <n v="500"/>
    <m/>
    <m/>
    <m/>
    <m/>
    <m/>
    <n v="22720.915913317174"/>
    <n v="9500"/>
    <n v="32220.915913317174"/>
  </r>
  <r>
    <x v="62"/>
    <s v="POSS"/>
    <s v="B0346"/>
    <n v="0"/>
    <n v="1"/>
    <n v="1"/>
    <n v="1"/>
    <n v="0"/>
    <n v="3"/>
    <n v="4"/>
    <n v="657215.40526991279"/>
    <n v="112374.73423292725"/>
    <m/>
    <m/>
    <n v="2000"/>
    <n v="15000"/>
    <m/>
    <m/>
    <m/>
    <n v="4300"/>
    <n v="4000"/>
    <n v="3000"/>
    <n v="2000"/>
    <n v="1000"/>
    <n v="1000"/>
    <n v="1000"/>
    <m/>
    <m/>
    <m/>
    <m/>
    <m/>
    <n v="771590.13950284"/>
    <n v="31300"/>
    <n v="802890.13950284"/>
  </r>
  <r>
    <x v="63"/>
    <s v="MIDDLE EAST"/>
    <s v="B0458"/>
    <n v="0"/>
    <n v="1"/>
    <n v="1"/>
    <n v="0"/>
    <n v="0"/>
    <n v="2"/>
    <n v="2"/>
    <n v="505022.03111702437"/>
    <n v="96140.229638671561"/>
    <m/>
    <m/>
    <n v="1000"/>
    <n v="5000"/>
    <m/>
    <m/>
    <m/>
    <n v="6000"/>
    <n v="2000"/>
    <n v="3000"/>
    <n v="700"/>
    <n v="1000"/>
    <n v="1000"/>
    <n v="500"/>
    <m/>
    <m/>
    <m/>
    <m/>
    <m/>
    <n v="602162.26075569587"/>
    <n v="19200"/>
    <n v="621362.26075569587"/>
  </r>
  <r>
    <x v="64"/>
    <s v="EUROPE/AMERICAS"/>
    <s v="B0562"/>
    <n v="0"/>
    <n v="0"/>
    <n v="1"/>
    <n v="0"/>
    <n v="0"/>
    <n v="1"/>
    <n v="2"/>
    <n v="173580.43169342499"/>
    <n v="92331.735098331323"/>
    <m/>
    <m/>
    <n v="1000"/>
    <n v="10000"/>
    <n v="22000"/>
    <m/>
    <m/>
    <n v="6700"/>
    <n v="1000"/>
    <n v="3000"/>
    <n v="1100"/>
    <n v="1000"/>
    <n v="500"/>
    <n v="1500"/>
    <m/>
    <m/>
    <m/>
    <m/>
    <m/>
    <n v="266912.16679175629"/>
    <n v="46800"/>
    <n v="313712.16679175629"/>
  </r>
  <r>
    <x v="65"/>
    <s v="Africa"/>
    <s v="B0348"/>
    <n v="0"/>
    <n v="0"/>
    <n v="1"/>
    <n v="1"/>
    <n v="0"/>
    <n v="2"/>
    <n v="2"/>
    <n v="343045.83174688648"/>
    <n v="28650.258889823199"/>
    <m/>
    <m/>
    <n v="1000"/>
    <n v="18000"/>
    <n v="12000"/>
    <m/>
    <m/>
    <n v="5300"/>
    <n v="1000"/>
    <n v="3000"/>
    <n v="700"/>
    <n v="1000"/>
    <n v="1000"/>
    <n v="600"/>
    <m/>
    <m/>
    <m/>
    <m/>
    <m/>
    <n v="372696.0906367097"/>
    <n v="42600"/>
    <n v="415296.0906367097"/>
  </r>
  <r>
    <x v="66"/>
    <s v="Africa"/>
    <s v="B0350"/>
    <n v="0"/>
    <n v="0"/>
    <n v="1"/>
    <n v="0"/>
    <n v="0"/>
    <n v="1"/>
    <n v="2"/>
    <n v="182157.41595471665"/>
    <n v="34103.302708184725"/>
    <m/>
    <m/>
    <n v="1000"/>
    <n v="4000"/>
    <n v="5800"/>
    <m/>
    <m/>
    <n v="3000"/>
    <n v="2200"/>
    <n v="5000"/>
    <n v="1000"/>
    <n v="1000"/>
    <n v="500"/>
    <n v="500"/>
    <m/>
    <m/>
    <m/>
    <m/>
    <m/>
    <n v="217260.71866290137"/>
    <n v="23000"/>
    <n v="240260.71866290137"/>
  </r>
  <r>
    <x v="67"/>
    <s v="ASIA/PACIFIC"/>
    <s v="B0414"/>
    <n v="0"/>
    <n v="0"/>
    <n v="1"/>
    <n v="0"/>
    <n v="0"/>
    <n v="1"/>
    <n v="2"/>
    <n v="179285.00646133337"/>
    <n v="61081.970221047988"/>
    <m/>
    <m/>
    <n v="1000"/>
    <n v="7000"/>
    <n v="4500"/>
    <m/>
    <m/>
    <n v="6000"/>
    <n v="1500"/>
    <n v="1700"/>
    <n v="500"/>
    <n v="1000"/>
    <n v="500"/>
    <n v="500"/>
    <m/>
    <m/>
    <m/>
    <m/>
    <m/>
    <n v="241366.97668238136"/>
    <n v="23200"/>
    <n v="264566.97668238136"/>
  </r>
  <r>
    <x v="68"/>
    <s v="Africa"/>
    <s v="B0352"/>
    <n v="0"/>
    <n v="1"/>
    <n v="2"/>
    <n v="1"/>
    <n v="0"/>
    <n v="4"/>
    <n v="2"/>
    <n v="924273.28775398782"/>
    <n v="51845.717746613278"/>
    <m/>
    <m/>
    <n v="1000"/>
    <n v="6000"/>
    <n v="18000"/>
    <m/>
    <m/>
    <n v="9000"/>
    <n v="5000"/>
    <n v="7000"/>
    <n v="2000"/>
    <n v="1000"/>
    <n v="2000"/>
    <n v="1000"/>
    <m/>
    <m/>
    <m/>
    <m/>
    <m/>
    <n v="977119.00550060114"/>
    <n v="51000"/>
    <n v="1028119.0055006011"/>
  </r>
  <r>
    <x v="69"/>
    <s v="Africa"/>
    <s v="B0354"/>
    <n v="0"/>
    <n v="0"/>
    <n v="1"/>
    <n v="0"/>
    <n v="0"/>
    <n v="1"/>
    <n v="2"/>
    <n v="191574.21704218333"/>
    <n v="43660.671148242262"/>
    <m/>
    <m/>
    <n v="1000"/>
    <n v="12000"/>
    <n v="13500"/>
    <m/>
    <m/>
    <n v="2500"/>
    <n v="1500"/>
    <n v="6000"/>
    <n v="700"/>
    <n v="1000"/>
    <n v="500"/>
    <n v="1500"/>
    <m/>
    <m/>
    <m/>
    <m/>
    <m/>
    <n v="236234.88819042558"/>
    <n v="39200"/>
    <n v="275434.88819042558"/>
  </r>
  <r>
    <x v="70"/>
    <s v="EUROPE/AMERICAS"/>
    <s v="B0514"/>
    <n v="0"/>
    <n v="0"/>
    <n v="1"/>
    <n v="0"/>
    <n v="0"/>
    <n v="1"/>
    <n v="2"/>
    <n v="188042.73392192498"/>
    <n v="105238.0209549733"/>
    <m/>
    <m/>
    <n v="1000"/>
    <n v="14000"/>
    <n v="49000"/>
    <m/>
    <m/>
    <n v="9000"/>
    <n v="1500"/>
    <n v="1500"/>
    <n v="1000"/>
    <n v="1000"/>
    <n v="500"/>
    <n v="1500"/>
    <m/>
    <m/>
    <m/>
    <m/>
    <m/>
    <n v="294280.75487689825"/>
    <n v="79000"/>
    <n v="373280.75487689825"/>
  </r>
  <r>
    <x v="71"/>
    <s v="EUROPE/AMERICAS"/>
    <s v="B0564"/>
    <n v="0"/>
    <n v="0"/>
    <n v="0"/>
    <n v="0"/>
    <n v="0"/>
    <n v="0"/>
    <n v="1"/>
    <n v="0"/>
    <n v="18615.313023362691"/>
    <m/>
    <m/>
    <n v="0"/>
    <n v="0"/>
    <n v="0"/>
    <m/>
    <m/>
    <n v="0"/>
    <n v="0"/>
    <n v="0"/>
    <n v="0"/>
    <n v="0"/>
    <n v="0"/>
    <n v="0"/>
    <m/>
    <m/>
    <m/>
    <m/>
    <m/>
    <n v="18615.313023362691"/>
    <n v="0"/>
    <n v="18615.313023362691"/>
  </r>
  <r>
    <x v="72"/>
    <s v="ASIA/PACIFIC"/>
    <s v="B0418"/>
    <n v="0"/>
    <n v="0"/>
    <n v="0"/>
    <n v="0"/>
    <n v="0"/>
    <n v="0"/>
    <n v="2"/>
    <n v="0"/>
    <n v="48465.603138945022"/>
    <m/>
    <m/>
    <n v="1000"/>
    <n v="4000"/>
    <n v="4000"/>
    <m/>
    <m/>
    <n v="1800"/>
    <n v="1000"/>
    <n v="1000"/>
    <n v="800"/>
    <n v="500"/>
    <n v="1000"/>
    <n v="900"/>
    <m/>
    <m/>
    <m/>
    <m/>
    <m/>
    <n v="49465.603138945022"/>
    <n v="15000"/>
    <n v="64465.603138945022"/>
  </r>
  <r>
    <x v="73"/>
    <s v="Africa"/>
    <s v="B0460"/>
    <n v="0"/>
    <n v="0"/>
    <n v="1"/>
    <n v="0"/>
    <n v="0"/>
    <n v="1"/>
    <n v="2"/>
    <n v="173982.16231088334"/>
    <n v="84353.037757199592"/>
    <m/>
    <m/>
    <n v="1000"/>
    <n v="7500"/>
    <n v="20600"/>
    <m/>
    <m/>
    <n v="6500"/>
    <n v="2400"/>
    <n v="2000"/>
    <n v="1000"/>
    <n v="500"/>
    <n v="500"/>
    <n v="500"/>
    <m/>
    <m/>
    <m/>
    <m/>
    <m/>
    <n v="259335.20006808295"/>
    <n v="41500"/>
    <n v="300835.20006808295"/>
  </r>
  <r>
    <x v="74"/>
    <s v="Africa"/>
    <s v="B0358"/>
    <n v="0"/>
    <n v="0"/>
    <n v="1"/>
    <n v="0"/>
    <n v="0"/>
    <n v="1"/>
    <n v="2"/>
    <n v="203415.05544347499"/>
    <n v="87398.188382394117"/>
    <m/>
    <m/>
    <n v="1000"/>
    <n v="5000"/>
    <n v="20000"/>
    <n v="0"/>
    <m/>
    <n v="7000"/>
    <n v="1000"/>
    <n v="1000"/>
    <n v="700"/>
    <n v="1000"/>
    <n v="500"/>
    <n v="800"/>
    <m/>
    <m/>
    <m/>
    <m/>
    <m/>
    <n v="291813.24382586911"/>
    <n v="37000"/>
    <n v="328813.24382586911"/>
  </r>
  <r>
    <x v="75"/>
    <s v="ASIA/PACIFIC"/>
    <s v="B0420"/>
    <n v="0"/>
    <n v="0"/>
    <n v="1"/>
    <n v="1"/>
    <n v="0"/>
    <n v="2"/>
    <n v="2"/>
    <n v="365141.56561058585"/>
    <n v="40780.09958470532"/>
    <m/>
    <m/>
    <n v="1000"/>
    <n v="6000"/>
    <n v="4500"/>
    <m/>
    <m/>
    <n v="6000"/>
    <n v="2000"/>
    <n v="2300"/>
    <n v="700"/>
    <n v="1000"/>
    <n v="500"/>
    <n v="500"/>
    <m/>
    <m/>
    <m/>
    <m/>
    <m/>
    <n v="406921.66519529116"/>
    <n v="23500"/>
    <n v="430421.66519529116"/>
  </r>
  <r>
    <x v="76"/>
    <s v="Africa"/>
    <s v="B0360"/>
    <n v="0"/>
    <n v="0"/>
    <n v="0"/>
    <n v="0"/>
    <n v="0"/>
    <n v="0"/>
    <n v="1"/>
    <n v="0"/>
    <n v="35671.817175383461"/>
    <m/>
    <m/>
    <n v="500"/>
    <n v="3000"/>
    <n v="7000"/>
    <m/>
    <m/>
    <n v="3000"/>
    <n v="1000"/>
    <n v="2000"/>
    <n v="700"/>
    <n v="0"/>
    <n v="0"/>
    <n v="600"/>
    <m/>
    <m/>
    <m/>
    <m/>
    <m/>
    <n v="36171.817175383461"/>
    <n v="17300"/>
    <n v="53471.817175383461"/>
  </r>
  <r>
    <x v="77"/>
    <s v="ASIA/PACIFIC"/>
    <s v="B0422"/>
    <n v="0"/>
    <n v="0"/>
    <n v="1"/>
    <n v="1"/>
    <n v="0"/>
    <n v="2"/>
    <n v="4"/>
    <n v="346305.50771188643"/>
    <n v="71376.387529057669"/>
    <m/>
    <m/>
    <n v="2000"/>
    <n v="8000"/>
    <n v="21000"/>
    <m/>
    <m/>
    <n v="7000"/>
    <n v="2500"/>
    <n v="2000"/>
    <n v="1400"/>
    <n v="1000"/>
    <n v="1000"/>
    <n v="900"/>
    <m/>
    <m/>
    <m/>
    <m/>
    <m/>
    <n v="419681.89524094411"/>
    <n v="44800"/>
    <n v="464481.89524094411"/>
  </r>
  <r>
    <x v="78"/>
    <s v="EUROPE/AMERICAS"/>
    <s v="B0516"/>
    <n v="0"/>
    <n v="0"/>
    <n v="1"/>
    <n v="0"/>
    <n v="0"/>
    <n v="1"/>
    <n v="2"/>
    <n v="177645.36658199999"/>
    <n v="52065.144989314591"/>
    <m/>
    <m/>
    <n v="1000"/>
    <n v="8000"/>
    <n v="13500"/>
    <m/>
    <m/>
    <n v="10000"/>
    <n v="2000"/>
    <n v="3000"/>
    <n v="700"/>
    <n v="1000"/>
    <n v="500"/>
    <n v="1600"/>
    <m/>
    <m/>
    <m/>
    <m/>
    <m/>
    <n v="230710.51157131459"/>
    <n v="40300"/>
    <n v="271010.51157131459"/>
  </r>
  <r>
    <x v="79"/>
    <s v="Africa"/>
    <s v="B0362"/>
    <n v="0"/>
    <n v="0"/>
    <n v="1"/>
    <n v="0"/>
    <n v="1"/>
    <n v="2"/>
    <n v="2"/>
    <n v="342232.71007569938"/>
    <n v="65451.926081069287"/>
    <m/>
    <m/>
    <n v="1000"/>
    <n v="6000"/>
    <n v="14000"/>
    <m/>
    <m/>
    <n v="14000"/>
    <n v="1500"/>
    <n v="3000"/>
    <n v="700"/>
    <n v="1000"/>
    <n v="500"/>
    <n v="500"/>
    <m/>
    <m/>
    <m/>
    <m/>
    <m/>
    <n v="408684.63615676865"/>
    <n v="41200"/>
    <n v="449884.63615676865"/>
  </r>
  <r>
    <x v="80"/>
    <s v="Africa"/>
    <s v="B0364"/>
    <n v="0"/>
    <n v="1"/>
    <n v="3"/>
    <n v="3"/>
    <n v="0"/>
    <n v="7"/>
    <n v="6"/>
    <n v="1454384.6686293771"/>
    <n v="384144.83371643891"/>
    <m/>
    <m/>
    <n v="3000"/>
    <n v="40000"/>
    <n v="30000"/>
    <m/>
    <m/>
    <n v="20000"/>
    <n v="5000"/>
    <n v="11000"/>
    <n v="5000"/>
    <n v="1000"/>
    <n v="1000"/>
    <n v="3000"/>
    <m/>
    <m/>
    <m/>
    <m/>
    <m/>
    <n v="1841529.502345816"/>
    <n v="116000"/>
    <n v="1957529.502345816"/>
  </r>
  <r>
    <x v="81"/>
    <s v="ASIA/PACIFIC"/>
    <s v="B0424"/>
    <n v="1"/>
    <n v="0"/>
    <n v="10"/>
    <n v="6"/>
    <n v="0"/>
    <n v="17"/>
    <n v="23"/>
    <n v="3399535.9756065072"/>
    <n v="576397.28804135777"/>
    <m/>
    <m/>
    <n v="10000"/>
    <n v="70000"/>
    <n v="385000"/>
    <m/>
    <m/>
    <n v="37000"/>
    <n v="95000"/>
    <n v="50000"/>
    <n v="7000"/>
    <n v="1500"/>
    <n v="13500"/>
    <n v="2000"/>
    <m/>
    <m/>
    <m/>
    <m/>
    <m/>
    <n v="3985933.263647865"/>
    <n v="661000"/>
    <n v="4646933.2636478655"/>
  </r>
  <r>
    <x v="82"/>
    <s v="EUROPE/AMERICAS"/>
    <s v="B0518"/>
    <n v="0"/>
    <n v="0"/>
    <n v="2"/>
    <n v="0"/>
    <n v="0"/>
    <n v="2"/>
    <n v="2"/>
    <n v="358087.93618171662"/>
    <n v="83049.730254711802"/>
    <m/>
    <m/>
    <n v="1000"/>
    <n v="3000"/>
    <n v="22000"/>
    <m/>
    <m/>
    <n v="11000"/>
    <n v="2500"/>
    <n v="7000"/>
    <n v="1000"/>
    <n v="1000"/>
    <n v="1000"/>
    <n v="2000"/>
    <m/>
    <m/>
    <m/>
    <m/>
    <m/>
    <n v="442137.66643642844"/>
    <n v="50500"/>
    <n v="492637.66643642844"/>
  </r>
  <r>
    <x v="83"/>
    <s v="ASIA/PACIFIC"/>
    <s v="B0426"/>
    <n v="0"/>
    <n v="0"/>
    <n v="1"/>
    <n v="1"/>
    <n v="0"/>
    <n v="2"/>
    <n v="3"/>
    <n v="454240.39511426864"/>
    <n v="83600.068623117477"/>
    <m/>
    <m/>
    <n v="1500"/>
    <n v="13000"/>
    <n v="80000"/>
    <m/>
    <m/>
    <n v="12000"/>
    <n v="4000"/>
    <n v="2800"/>
    <n v="3600"/>
    <n v="1000"/>
    <n v="5000"/>
    <n v="700"/>
    <m/>
    <m/>
    <m/>
    <m/>
    <m/>
    <n v="539340.46373738616"/>
    <n v="122100"/>
    <n v="661440.46373738616"/>
  </r>
  <r>
    <x v="84"/>
    <s v="EUROPE/AMERICAS"/>
    <s v="B0522"/>
    <n v="0"/>
    <n v="0"/>
    <n v="1"/>
    <n v="0"/>
    <n v="0"/>
    <n v="1"/>
    <n v="3"/>
    <n v="191866.63044002504"/>
    <n v="190013.45194845556"/>
    <m/>
    <m/>
    <n v="1500"/>
    <n v="5700"/>
    <n v="36000"/>
    <m/>
    <m/>
    <n v="15000"/>
    <n v="4700"/>
    <n v="4000"/>
    <n v="1600"/>
    <n v="1000"/>
    <n v="1000"/>
    <n v="1000"/>
    <m/>
    <m/>
    <m/>
    <m/>
    <m/>
    <n v="383380.0823884806"/>
    <n v="70000"/>
    <n v="453380.0823884806"/>
  </r>
  <r>
    <x v="85"/>
    <s v="ASIA/PACIFIC"/>
    <s v="B0428"/>
    <n v="0"/>
    <n v="0"/>
    <n v="2"/>
    <n v="3"/>
    <n v="0"/>
    <n v="5"/>
    <n v="4"/>
    <n v="850545.76351786195"/>
    <n v="90127.071601416843"/>
    <m/>
    <m/>
    <n v="2000"/>
    <n v="22000"/>
    <n v="61000"/>
    <m/>
    <n v="8000"/>
    <n v="20000"/>
    <n v="6000"/>
    <n v="7000"/>
    <n v="4000"/>
    <n v="1000"/>
    <n v="1000"/>
    <n v="500"/>
    <m/>
    <m/>
    <m/>
    <m/>
    <m/>
    <n v="942672.83511927875"/>
    <n v="130500"/>
    <n v="1073172.8351192786"/>
  </r>
  <r>
    <x v="86"/>
    <s v="MIDDLE EAST"/>
    <s v="B0464"/>
    <n v="0"/>
    <n v="1"/>
    <n v="5"/>
    <n v="3"/>
    <n v="1"/>
    <n v="10"/>
    <n v="7"/>
    <n v="2327095.4891299079"/>
    <n v="315182.69059455523"/>
    <m/>
    <m/>
    <n v="3500"/>
    <n v="30000"/>
    <n v="100000"/>
    <m/>
    <m/>
    <n v="36000"/>
    <n v="10000"/>
    <n v="15000"/>
    <n v="5000"/>
    <n v="1000"/>
    <n v="2000"/>
    <n v="1000"/>
    <m/>
    <m/>
    <m/>
    <m/>
    <m/>
    <n v="2645778.1797244633"/>
    <n v="200000"/>
    <n v="2845778.1797244633"/>
  </r>
  <r>
    <x v="87"/>
    <s v="EUROPE/AMERICAS"/>
    <s v="B0572"/>
    <n v="0"/>
    <n v="0"/>
    <n v="1"/>
    <n v="0"/>
    <n v="0"/>
    <n v="1"/>
    <n v="2"/>
    <n v="214878.33916814165"/>
    <n v="64317.581899250064"/>
    <m/>
    <m/>
    <n v="1500"/>
    <n v="18000"/>
    <n v="70000"/>
    <m/>
    <m/>
    <n v="10000"/>
    <n v="3000"/>
    <n v="5000"/>
    <n v="2000"/>
    <n v="500"/>
    <n v="500"/>
    <n v="1000"/>
    <m/>
    <m/>
    <m/>
    <m/>
    <m/>
    <n v="280695.9210673917"/>
    <n v="110000"/>
    <n v="390695.9210673917"/>
  </r>
  <r>
    <x v="88"/>
    <s v="Africa"/>
    <s v="B0366"/>
    <n v="0"/>
    <n v="0"/>
    <n v="1"/>
    <n v="0"/>
    <n v="0"/>
    <n v="1"/>
    <n v="3"/>
    <n v="195494.70757558334"/>
    <n v="78787.647461555141"/>
    <m/>
    <m/>
    <n v="1500"/>
    <n v="12000"/>
    <n v="12000"/>
    <m/>
    <m/>
    <n v="14000"/>
    <n v="2000"/>
    <n v="4000"/>
    <n v="1000"/>
    <n v="1000"/>
    <n v="1500"/>
    <n v="3300"/>
    <m/>
    <m/>
    <m/>
    <m/>
    <m/>
    <n v="275782.35503713845"/>
    <n v="50800"/>
    <n v="326582.35503713845"/>
  </r>
  <r>
    <x v="89"/>
    <s v="ASIA/PACIFIC"/>
    <s v="B0432"/>
    <n v="0"/>
    <n v="0"/>
    <n v="0"/>
    <n v="0"/>
    <n v="0"/>
    <n v="0"/>
    <n v="2"/>
    <n v="0"/>
    <n v="44894.519054300574"/>
    <m/>
    <m/>
    <n v="1000"/>
    <n v="5000"/>
    <n v="16000"/>
    <m/>
    <m/>
    <n v="2000"/>
    <n v="700"/>
    <n v="500"/>
    <n v="300"/>
    <n v="1000"/>
    <n v="0"/>
    <n v="700"/>
    <m/>
    <m/>
    <m/>
    <m/>
    <m/>
    <n v="45894.519054300574"/>
    <n v="26200"/>
    <n v="72094.519054300574"/>
  </r>
  <r>
    <x v="90"/>
    <s v="MIDDLE EAST"/>
    <s v="B0466"/>
    <n v="0"/>
    <n v="0"/>
    <n v="1"/>
    <n v="0"/>
    <n v="0"/>
    <n v="1"/>
    <n v="2"/>
    <n v="191946.97656351666"/>
    <n v="144196.59386941878"/>
    <m/>
    <m/>
    <n v="1000"/>
    <n v="10000"/>
    <n v="9500"/>
    <m/>
    <m/>
    <n v="6000"/>
    <n v="1200"/>
    <n v="400"/>
    <n v="700"/>
    <n v="1000"/>
    <n v="500"/>
    <n v="500"/>
    <m/>
    <m/>
    <m/>
    <m/>
    <m/>
    <n v="337143.57043293543"/>
    <n v="29800"/>
    <n v="366943.57043293543"/>
  </r>
  <r>
    <x v="91"/>
    <s v="Africa"/>
    <s v="B0370"/>
    <n v="0"/>
    <n v="0"/>
    <n v="2"/>
    <n v="2"/>
    <n v="0"/>
    <n v="4"/>
    <n v="3"/>
    <n v="704460.00918074115"/>
    <n v="98689.848302815371"/>
    <m/>
    <m/>
    <n v="1500"/>
    <n v="10000"/>
    <n v="40500"/>
    <m/>
    <m/>
    <n v="9000"/>
    <n v="1500"/>
    <n v="5000"/>
    <n v="1000"/>
    <n v="1000"/>
    <n v="1000"/>
    <n v="1000"/>
    <m/>
    <m/>
    <m/>
    <m/>
    <m/>
    <n v="804649.85748355649"/>
    <n v="70000"/>
    <n v="874649.85748355649"/>
  </r>
  <r>
    <x v="92"/>
    <s v="EUROPE/AMERICAS"/>
    <s v="B0586"/>
    <n v="0"/>
    <n v="0"/>
    <n v="1"/>
    <n v="0"/>
    <n v="0"/>
    <n v="1"/>
    <n v="2"/>
    <n v="184587.8506117833"/>
    <n v="200769.44635120904"/>
    <m/>
    <m/>
    <n v="1000"/>
    <n v="9000"/>
    <n v="13000"/>
    <m/>
    <m/>
    <n v="6000"/>
    <n v="1000"/>
    <n v="1700"/>
    <n v="1000"/>
    <n v="1000"/>
    <n v="500"/>
    <n v="600"/>
    <m/>
    <m/>
    <m/>
    <m/>
    <m/>
    <n v="386357.29696299235"/>
    <n v="33800"/>
    <n v="420157.29696299235"/>
  </r>
  <r>
    <x v="93"/>
    <s v="Africa"/>
    <s v="B0372"/>
    <n v="0"/>
    <n v="1"/>
    <n v="1"/>
    <n v="1"/>
    <n v="0"/>
    <n v="3"/>
    <n v="3"/>
    <n v="682003.67600917537"/>
    <n v="45428.709137551916"/>
    <m/>
    <m/>
    <n v="1500"/>
    <n v="8000"/>
    <n v="18000"/>
    <m/>
    <m/>
    <n v="10000"/>
    <n v="3000"/>
    <n v="4500"/>
    <n v="1500"/>
    <n v="1000"/>
    <n v="1500"/>
    <n v="1100"/>
    <m/>
    <m/>
    <m/>
    <m/>
    <m/>
    <n v="728932.38514672732"/>
    <n v="48600"/>
    <n v="777532.38514672732"/>
  </r>
  <r>
    <x v="94"/>
    <s v="Africa"/>
    <s v="B0468"/>
    <n v="0"/>
    <n v="1"/>
    <n v="9"/>
    <n v="9"/>
    <n v="1"/>
    <n v="20"/>
    <n v="13"/>
    <n v="4659950.9059555819"/>
    <n v="275681.67051907006"/>
    <m/>
    <m/>
    <n v="7000"/>
    <n v="200000"/>
    <n v="226800"/>
    <m/>
    <m/>
    <n v="130000"/>
    <n v="15000"/>
    <n v="30000"/>
    <n v="20000"/>
    <n v="1000"/>
    <n v="9500"/>
    <n v="15000"/>
    <m/>
    <m/>
    <m/>
    <m/>
    <m/>
    <n v="4942632.5764746517"/>
    <n v="647300"/>
    <n v="5589932.5764746517"/>
  </r>
  <r>
    <x v="95"/>
    <s v="Africa"/>
    <s v="B0374"/>
    <n v="0"/>
    <n v="1"/>
    <n v="1"/>
    <n v="1"/>
    <n v="0"/>
    <n v="3"/>
    <n v="5"/>
    <n v="499533.23591198097"/>
    <n v="188342.65998805349"/>
    <m/>
    <m/>
    <n v="2500"/>
    <n v="13000"/>
    <n v="49100"/>
    <m/>
    <m/>
    <n v="22000"/>
    <n v="8000"/>
    <n v="15000"/>
    <n v="3400"/>
    <n v="1000"/>
    <n v="1500"/>
    <n v="7000"/>
    <m/>
    <m/>
    <m/>
    <m/>
    <m/>
    <n v="690375.89590003446"/>
    <n v="120000"/>
    <n v="810375.89590003446"/>
  </r>
  <r>
    <x v="96"/>
    <s v="POSS"/>
    <s v="B0471"/>
    <n v="1"/>
    <n v="0"/>
    <n v="3"/>
    <n v="2"/>
    <n v="0"/>
    <n v="6"/>
    <n v="5"/>
    <n v="1589138.5215829881"/>
    <n v="200563.13597048644"/>
    <m/>
    <m/>
    <n v="2000"/>
    <n v="30000"/>
    <n v="20500"/>
    <m/>
    <m/>
    <n v="26000"/>
    <n v="20000"/>
    <n v="2000"/>
    <n v="5000"/>
    <n v="1000"/>
    <n v="1000"/>
    <n v="5500"/>
    <m/>
    <m/>
    <m/>
    <m/>
    <m/>
    <n v="1791701.6575534744"/>
    <n v="111000"/>
    <n v="1902701.6575534744"/>
  </r>
  <r>
    <x v="97"/>
    <s v="ASIA/PACIFIC"/>
    <s v="B0434"/>
    <n v="0"/>
    <n v="1"/>
    <n v="1"/>
    <n v="1"/>
    <n v="0"/>
    <n v="3"/>
    <n v="5"/>
    <n v="565306.2635728959"/>
    <n v="94067.226890937309"/>
    <m/>
    <m/>
    <n v="2500"/>
    <n v="25000"/>
    <n v="20000"/>
    <m/>
    <m/>
    <n v="7000"/>
    <n v="6000"/>
    <n v="8000"/>
    <n v="2500"/>
    <n v="1000"/>
    <n v="2000"/>
    <n v="7000"/>
    <m/>
    <m/>
    <m/>
    <m/>
    <m/>
    <n v="661873.49046383321"/>
    <n v="78500"/>
    <n v="740373.49046383321"/>
  </r>
  <r>
    <x v="98"/>
    <s v="POSS"/>
    <s v="B04701"/>
    <n v="0"/>
    <n v="1"/>
    <n v="2"/>
    <n v="5"/>
    <n v="0"/>
    <n v="8"/>
    <n v="6"/>
    <n v="1945831.2481801575"/>
    <n v="164923.84836968803"/>
    <m/>
    <m/>
    <n v="3000"/>
    <n v="10000"/>
    <n v="2000"/>
    <m/>
    <m/>
    <n v="15000"/>
    <n v="4000"/>
    <n v="5000"/>
    <n v="1000"/>
    <n v="1000"/>
    <n v="2000"/>
    <n v="2500"/>
    <m/>
    <m/>
    <m/>
    <m/>
    <m/>
    <n v="2113755.0965498453"/>
    <n v="42500"/>
    <n v="2156255.0965498453"/>
  </r>
  <r>
    <x v="99"/>
    <s v="POSS"/>
    <s v="B04702"/>
    <n v="0"/>
    <n v="0"/>
    <n v="2"/>
    <n v="2"/>
    <n v="0"/>
    <n v="4"/>
    <n v="9"/>
    <n v="973753.84622286935"/>
    <n v="247385.77255453201"/>
    <m/>
    <m/>
    <n v="5000"/>
    <n v="10000"/>
    <n v="20700"/>
    <m/>
    <m/>
    <n v="8000"/>
    <n v="3000"/>
    <n v="6000"/>
    <n v="3000"/>
    <n v="1000"/>
    <n v="1000"/>
    <n v="3500"/>
    <m/>
    <m/>
    <m/>
    <m/>
    <m/>
    <n v="1226139.6187774013"/>
    <n v="56200"/>
    <n v="1282339.6187774013"/>
  </r>
  <r>
    <x v="100"/>
    <s v="POSS"/>
    <s v="B0470"/>
    <n v="0"/>
    <n v="1"/>
    <n v="4"/>
    <n v="7"/>
    <n v="0"/>
    <n v="12"/>
    <n v="15"/>
    <n v="2919585.0944030266"/>
    <n v="412309.62092422001"/>
    <m/>
    <m/>
    <n v="8000"/>
    <n v="20000"/>
    <n v="22700"/>
    <n v="0"/>
    <n v="0"/>
    <n v="23000"/>
    <n v="7000"/>
    <n v="11000"/>
    <n v="4000"/>
    <n v="2000"/>
    <n v="3000"/>
    <n v="6000"/>
    <m/>
    <m/>
    <m/>
    <m/>
    <m/>
    <n v="3339894.7153272466"/>
    <n v="98700"/>
    <n v="3438594.7153272466"/>
  </r>
  <r>
    <x v="101"/>
    <s v="Africa"/>
    <s v="B0376"/>
    <n v="0"/>
    <n v="0"/>
    <n v="0"/>
    <n v="0"/>
    <n v="0"/>
    <n v="0"/>
    <n v="1"/>
    <n v="0"/>
    <n v="26863.713409455035"/>
    <m/>
    <m/>
    <n v="1000"/>
    <n v="2500"/>
    <n v="8600"/>
    <m/>
    <m/>
    <n v="5000"/>
    <n v="1500"/>
    <n v="1500"/>
    <n v="500"/>
    <n v="0"/>
    <n v="500"/>
    <n v="500"/>
    <m/>
    <m/>
    <m/>
    <m/>
    <m/>
    <n v="27863.713409455035"/>
    <n v="20600"/>
    <n v="48463.713409455035"/>
  </r>
  <r>
    <x v="102"/>
    <s v="MIDDLE EAST"/>
    <s v="B0472"/>
    <n v="0"/>
    <n v="1"/>
    <n v="2"/>
    <n v="2"/>
    <n v="0"/>
    <n v="5"/>
    <n v="5"/>
    <n v="1210303.2951931795"/>
    <n v="170484.39474575655"/>
    <m/>
    <m/>
    <n v="1000"/>
    <n v="8000"/>
    <n v="11500"/>
    <m/>
    <m/>
    <n v="14000"/>
    <n v="2400"/>
    <n v="2200"/>
    <n v="700"/>
    <n v="1000"/>
    <n v="1500"/>
    <n v="1000"/>
    <m/>
    <m/>
    <m/>
    <m/>
    <m/>
    <n v="1381787.6899389361"/>
    <n v="42300"/>
    <n v="1424087.6899389361"/>
  </r>
  <r>
    <x v="103"/>
    <s v="ASIA/PACIFIC"/>
    <s v="B0576"/>
    <n v="0"/>
    <n v="0"/>
    <n v="1"/>
    <n v="1"/>
    <n v="0"/>
    <n v="2"/>
    <n v="4"/>
    <n v="359295.78016022546"/>
    <n v="93783.069862820616"/>
    <m/>
    <m/>
    <n v="1500"/>
    <n v="4500"/>
    <n v="15900"/>
    <m/>
    <m/>
    <n v="7000"/>
    <n v="3500"/>
    <n v="5500"/>
    <n v="1200"/>
    <n v="700"/>
    <n v="800"/>
    <n v="700"/>
    <m/>
    <m/>
    <m/>
    <m/>
    <m/>
    <n v="454578.85002304608"/>
    <n v="39800"/>
    <n v="494378.85002304608"/>
  </r>
  <r>
    <x v="104"/>
    <s v="ASIA/PACIFIC"/>
    <s v="B0436"/>
    <n v="0"/>
    <n v="0"/>
    <n v="2"/>
    <n v="0"/>
    <n v="0"/>
    <n v="2"/>
    <n v="2"/>
    <n v="366604.62527183333"/>
    <n v="123724.0679427515"/>
    <m/>
    <m/>
    <n v="1000"/>
    <n v="6000"/>
    <n v="0"/>
    <m/>
    <m/>
    <n v="7000"/>
    <n v="300"/>
    <n v="1500"/>
    <n v="400"/>
    <n v="1000"/>
    <n v="1500"/>
    <n v="600"/>
    <m/>
    <m/>
    <m/>
    <m/>
    <m/>
    <n v="491328.69321458484"/>
    <n v="18300"/>
    <n v="509628.69321458484"/>
  </r>
  <r>
    <x v="105"/>
    <s v="Africa"/>
    <s v="B0378"/>
    <n v="0"/>
    <n v="0"/>
    <n v="1"/>
    <n v="0"/>
    <n v="0"/>
    <n v="1"/>
    <n v="2"/>
    <n v="191384.55369907495"/>
    <n v="62575.288521095325"/>
    <m/>
    <m/>
    <n v="1000"/>
    <n v="1500"/>
    <m/>
    <m/>
    <m/>
    <n v="4000"/>
    <n v="3500"/>
    <n v="4000"/>
    <n v="700"/>
    <n v="500"/>
    <n v="500"/>
    <n v="500"/>
    <m/>
    <m/>
    <m/>
    <m/>
    <m/>
    <n v="254959.84222017028"/>
    <n v="15200"/>
    <n v="270159.84222017031"/>
  </r>
  <r>
    <x v="106"/>
    <s v="EUROPE/AMERICAS"/>
    <s v="B0524"/>
    <n v="0"/>
    <n v="0"/>
    <n v="1"/>
    <n v="0"/>
    <n v="0"/>
    <n v="1"/>
    <n v="2"/>
    <n v="186676.84982256667"/>
    <n v="96706.294007837074"/>
    <m/>
    <m/>
    <n v="1000"/>
    <n v="5500"/>
    <n v="8100"/>
    <m/>
    <m/>
    <n v="5000"/>
    <n v="800"/>
    <n v="500"/>
    <n v="1000"/>
    <n v="1000"/>
    <n v="500"/>
    <n v="500"/>
    <m/>
    <m/>
    <m/>
    <m/>
    <m/>
    <n v="284383.14383040374"/>
    <n v="22900"/>
    <n v="307283.14383040374"/>
  </r>
  <r>
    <x v="107"/>
    <s v="Africa"/>
    <s v="B0474"/>
    <n v="0"/>
    <n v="0"/>
    <n v="1"/>
    <n v="0"/>
    <n v="0"/>
    <n v="1"/>
    <n v="2"/>
    <n v="164420.97361537497"/>
    <n v="44659.486793434648"/>
    <m/>
    <m/>
    <n v="1000"/>
    <n v="3000"/>
    <n v="16400"/>
    <m/>
    <m/>
    <n v="4000"/>
    <n v="1300"/>
    <n v="2500"/>
    <n v="800"/>
    <n v="800"/>
    <n v="500"/>
    <n v="1000"/>
    <m/>
    <m/>
    <m/>
    <m/>
    <m/>
    <n v="210080.46040880962"/>
    <n v="30300"/>
    <n v="240380.46040880962"/>
  </r>
  <r>
    <x v="108"/>
    <s v="MIDDLE EAST"/>
    <s v="B0578"/>
    <n v="0"/>
    <n v="0"/>
    <n v="1"/>
    <n v="1"/>
    <n v="0"/>
    <n v="2"/>
    <n v="3"/>
    <n v="330340.89826159179"/>
    <n v="138096.1612663485"/>
    <m/>
    <m/>
    <n v="1500"/>
    <n v="40000"/>
    <n v="57000"/>
    <m/>
    <m/>
    <n v="8200"/>
    <n v="3000"/>
    <n v="10000"/>
    <n v="2100"/>
    <n v="1000"/>
    <n v="1000"/>
    <n v="3000"/>
    <m/>
    <m/>
    <m/>
    <m/>
    <m/>
    <n v="469937.05952794029"/>
    <n v="125300"/>
    <n v="595237.05952794035"/>
  </r>
  <r>
    <x v="109"/>
    <s v="ASIA/PACIFIC"/>
    <s v="B0580"/>
    <n v="0"/>
    <n v="0"/>
    <n v="1"/>
    <n v="0"/>
    <n v="0"/>
    <n v="1"/>
    <n v="2"/>
    <n v="202325.70771889164"/>
    <n v="54936.10978496309"/>
    <m/>
    <m/>
    <n v="1000"/>
    <n v="1000"/>
    <n v="5600"/>
    <m/>
    <m/>
    <n v="12000"/>
    <n v="1200"/>
    <n v="800"/>
    <n v="700"/>
    <n v="1000"/>
    <n v="500"/>
    <n v="600"/>
    <m/>
    <m/>
    <m/>
    <m/>
    <m/>
    <n v="258261.81750385475"/>
    <n v="23400"/>
    <n v="281661.81750385475"/>
  </r>
  <r>
    <x v="110"/>
    <s v="Africa"/>
    <s v="B0380"/>
    <n v="0"/>
    <n v="0"/>
    <n v="1"/>
    <n v="1"/>
    <n v="0"/>
    <n v="2"/>
    <n v="3"/>
    <n v="341411.09896655515"/>
    <n v="82128.765198591544"/>
    <m/>
    <m/>
    <n v="2000"/>
    <n v="7000"/>
    <n v="14700"/>
    <m/>
    <m/>
    <n v="12000"/>
    <n v="7000"/>
    <n v="12000"/>
    <n v="700"/>
    <n v="300"/>
    <n v="500"/>
    <n v="500"/>
    <m/>
    <m/>
    <m/>
    <m/>
    <m/>
    <n v="425539.86416514672"/>
    <n v="54700"/>
    <n v="480239.86416514672"/>
  </r>
  <r>
    <x v="111"/>
    <s v="EUROPE/AMERICAS"/>
    <s v="B0582"/>
    <n v="0"/>
    <n v="0"/>
    <n v="1"/>
    <n v="1"/>
    <n v="0"/>
    <n v="2"/>
    <n v="3"/>
    <n v="327130.49600003764"/>
    <n v="98696.694119647233"/>
    <m/>
    <m/>
    <n v="1000"/>
    <n v="20000"/>
    <n v="42000"/>
    <m/>
    <m/>
    <n v="4500"/>
    <n v="1500"/>
    <n v="4000"/>
    <n v="600"/>
    <n v="1000"/>
    <n v="500"/>
    <n v="1000"/>
    <m/>
    <m/>
    <m/>
    <m/>
    <m/>
    <n v="426827.19011968491"/>
    <n v="75100"/>
    <n v="501927.19011968491"/>
  </r>
  <r>
    <x v="112"/>
    <s v="MIDDLE EAST"/>
    <s v="B0476"/>
    <n v="0"/>
    <n v="0"/>
    <n v="2"/>
    <n v="0"/>
    <n v="0"/>
    <n v="2"/>
    <n v="5"/>
    <n v="419406.93971035001"/>
    <n v="553184.47848308005"/>
    <m/>
    <m/>
    <n v="2500"/>
    <n v="27000"/>
    <n v="10000"/>
    <m/>
    <n v="58000"/>
    <n v="48000"/>
    <n v="5000"/>
    <n v="23000"/>
    <n v="6500"/>
    <n v="1000"/>
    <n v="30500"/>
    <n v="26500"/>
    <n v="220000"/>
    <m/>
    <m/>
    <m/>
    <m/>
    <n v="975091.41819343006"/>
    <n v="455500"/>
    <n v="1430591.4181934302"/>
  </r>
  <r>
    <x v="113"/>
    <s v="Africa"/>
    <s v="B0382"/>
    <n v="0"/>
    <n v="0"/>
    <n v="1"/>
    <n v="1"/>
    <n v="0"/>
    <n v="2"/>
    <n v="3"/>
    <n v="370925.86685506825"/>
    <n v="76812.298112474178"/>
    <m/>
    <m/>
    <n v="1500"/>
    <n v="13000"/>
    <n v="10000"/>
    <m/>
    <m/>
    <n v="7000"/>
    <n v="4000"/>
    <n v="5000"/>
    <n v="1400"/>
    <n v="1000"/>
    <n v="1000"/>
    <n v="500"/>
    <m/>
    <m/>
    <m/>
    <m/>
    <m/>
    <n v="449238.1649675424"/>
    <n v="42900"/>
    <n v="492138.1649675424"/>
  </r>
  <r>
    <x v="114"/>
    <s v="EUROPE/AMERICAS"/>
    <s v="B0526"/>
    <n v="0"/>
    <n v="0"/>
    <n v="0"/>
    <n v="0"/>
    <n v="0"/>
    <n v="0"/>
    <n v="1"/>
    <n v="0"/>
    <n v="68135.051133826462"/>
    <m/>
    <m/>
    <m/>
    <m/>
    <m/>
    <m/>
    <m/>
    <m/>
    <m/>
    <m/>
    <m/>
    <m/>
    <m/>
    <m/>
    <m/>
    <m/>
    <m/>
    <m/>
    <m/>
    <n v="68135.051133826462"/>
    <n v="0"/>
    <n v="68135.051133826462"/>
  </r>
  <r>
    <x v="115"/>
    <s v="ASIA/PACIFIC"/>
    <s v="B0584"/>
    <n v="0"/>
    <n v="0"/>
    <n v="1"/>
    <n v="0"/>
    <n v="0"/>
    <n v="1"/>
    <n v="2"/>
    <n v="189468.74831370835"/>
    <n v="42900.270453895238"/>
    <m/>
    <m/>
    <n v="1800"/>
    <n v="3000"/>
    <m/>
    <m/>
    <m/>
    <n v="4500"/>
    <n v="1000"/>
    <n v="2200"/>
    <n v="700"/>
    <n v="1000"/>
    <n v="500"/>
    <n v="1000"/>
    <m/>
    <m/>
    <m/>
    <m/>
    <m/>
    <n v="234169.01876760359"/>
    <n v="13900"/>
    <n v="248069.01876760359"/>
  </r>
  <r>
    <x v="116"/>
    <s v="EUROPE/AMERICAS"/>
    <s v="B0528"/>
    <n v="0"/>
    <n v="0"/>
    <n v="1"/>
    <n v="0"/>
    <n v="0"/>
    <n v="1"/>
    <n v="2"/>
    <n v="245409.86609497503"/>
    <n v="174368.90359678195"/>
    <m/>
    <m/>
    <n v="1000"/>
    <n v="9400"/>
    <n v="26000"/>
    <m/>
    <m/>
    <n v="5000"/>
    <n v="6400"/>
    <n v="0"/>
    <n v="2000"/>
    <n v="500"/>
    <n v="500"/>
    <n v="2000"/>
    <m/>
    <m/>
    <m/>
    <m/>
    <m/>
    <n v="420778.76969175698"/>
    <n v="51800"/>
    <n v="472578.76969175698"/>
  </r>
  <r>
    <x v="117"/>
    <s v="ASIA/PACIFIC"/>
    <s v="B0438"/>
    <n v="0"/>
    <n v="0"/>
    <n v="1"/>
    <n v="0"/>
    <n v="0"/>
    <n v="1"/>
    <n v="2"/>
    <n v="180687.5187738667"/>
    <n v="53219.49480351169"/>
    <m/>
    <m/>
    <n v="1000"/>
    <n v="8500"/>
    <n v="10000"/>
    <m/>
    <m/>
    <n v="6000"/>
    <n v="1000"/>
    <n v="500"/>
    <n v="700"/>
    <n v="1000"/>
    <n v="500"/>
    <n v="500"/>
    <m/>
    <m/>
    <m/>
    <m/>
    <m/>
    <n v="234907.01357737838"/>
    <n v="28700"/>
    <n v="263607.01357737835"/>
  </r>
  <r>
    <x v="118"/>
    <s v="Africa"/>
    <s v="B0384"/>
    <n v="0"/>
    <n v="0"/>
    <n v="1"/>
    <n v="0"/>
    <n v="0"/>
    <n v="1"/>
    <n v="3"/>
    <n v="191574.21704218333"/>
    <n v="136384.80704604948"/>
    <m/>
    <m/>
    <n v="1500"/>
    <n v="7000"/>
    <n v="22000"/>
    <m/>
    <m/>
    <n v="21000"/>
    <n v="2000"/>
    <n v="2500"/>
    <n v="700"/>
    <n v="1000"/>
    <n v="1000"/>
    <n v="2200"/>
    <m/>
    <m/>
    <m/>
    <m/>
    <m/>
    <n v="329459.02408823278"/>
    <n v="59400"/>
    <n v="388859.02408823278"/>
  </r>
  <r>
    <x v="119"/>
    <s v="Africa"/>
    <s v="B0386"/>
    <n v="0"/>
    <n v="0"/>
    <n v="1"/>
    <n v="1"/>
    <n v="0"/>
    <n v="2"/>
    <n v="3"/>
    <n v="362051.50893939193"/>
    <n v="136315.84601406311"/>
    <m/>
    <m/>
    <n v="1500"/>
    <n v="10000"/>
    <n v="36200"/>
    <m/>
    <m/>
    <n v="18200"/>
    <n v="4000"/>
    <n v="6500"/>
    <n v="2000"/>
    <n v="1000"/>
    <n v="1000"/>
    <n v="1700"/>
    <m/>
    <m/>
    <m/>
    <m/>
    <m/>
    <n v="499867.35495345504"/>
    <n v="80600"/>
    <n v="580467.354953455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dataPosition="0" applyNumberFormats="0" applyBorderFormats="0" applyFontFormats="0" applyPatternFormats="0" applyAlignmentFormats="0" applyWidthHeightFormats="1" dataCaption="Approved Post and Budget Data" updatedVersion="4" showMemberPropertyTips="0" itemPrintTitles="1" createdVersion="1" indent="0" compact="0" compactData="0" gridDropZones="1">
  <location ref="A11:B36" firstHeaderRow="1" firstDataRow="1" firstDataCol="1" rowPageCount="1" colPageCount="1"/>
  <pivotFields count="34">
    <pivotField axis="axisPage" compact="0" outline="0" subtotalTop="0" showAll="0" includeNewItemsInFilter="1" sortType="ascending" defaultSubtotal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m="1" x="120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numFmtId="41" outline="0" subtotalTop="0" showAll="0" includeNewItemsInFilter="1"/>
    <pivotField dataField="1" compact="0" numFmtId="41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dataField="1" compact="0" numFmtId="41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numFmtId="41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1">
    <field x="-2"/>
  </rowFields>
  <row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rowItems>
  <colItems count="1">
    <i/>
  </colItems>
  <pageFields count="1">
    <pageField fld="0" item="71" hier="-1"/>
  </pageFields>
  <dataFields count="25">
    <dataField name="  D1" fld="3" baseField="7" baseItem="2"/>
    <dataField name="  P5" fld="4" baseField="1" baseItem="64"/>
    <dataField name="  P4" fld="5" baseField="0" baseItem="0"/>
    <dataField name="  P3" fld="6" baseField="0" baseItem="0"/>
    <dataField name="  P2" fld="7" baseField="0" baseItem="0"/>
    <dataField name=" Total IP" fld="8" baseField="0" baseItem="0"/>
    <dataField name=" Total GS*" fld="9" baseField="0" baseItem="0"/>
    <dataField name="  6X300 International Posts_x000a_(FCSO)*" fld="10" baseField="0" baseItem="0" numFmtId="165"/>
    <dataField name="  6X200 General Service Posts_x000a_(LL)*" fld="11" baseField="0" baseItem="0" numFmtId="165"/>
    <dataField name="  66100  Overtime &amp; night differential" fld="14" baseField="0" baseItem="0" numFmtId="165"/>
    <dataField name=" 77200 Temporary Appointment" fld="12" baseField="1" baseItem="64" numFmtId="165"/>
    <dataField name="Sum of STAFF COSTS - Activity1" fld="31" baseField="0" baseItem="0" numFmtId="165"/>
    <dataField name=" 71600 Other official travel of staff" fld="15" baseField="1" baseItem="64" numFmtId="165"/>
    <dataField name=" 73100 Rent &amp; utilities premises" fld="16" baseField="0" baseItem="0" numFmtId="165"/>
    <dataField name=" 73200 Premises Alteration" fld="17" baseField="0" baseItem="0" numFmtId="165"/>
    <dataField name=" 71400 Help desk SCs" fld="18" baseField="0" baseItem="0" numFmtId="165"/>
    <dataField name=" 72400 Communications &amp; comm equipment" fld="19" baseField="0" baseItem="0" numFmtId="165"/>
    <dataField name=" 73400 Maintenance of furniture and equipment (vehicle maint, garage &amp; parking)" fld="20" baseField="0" baseItem="0" numFmtId="165"/>
    <dataField name=" 72300 Materials &amp; Goods (Only for land transportation fuel-72311)" fld="21" baseField="0" baseItem="0" numFmtId="165"/>
    <dataField name=" 72500 Supplies and materials (stationary, subscriptions)" fld="22" baseField="0" baseItem="0" numFmtId="165"/>
    <dataField name=" 72200 Office furniture &amp; equipment " fld="23" baseField="0" baseItem="0" numFmtId="165"/>
    <dataField name=" 72800 Data processing equipment, IT supplies, MS licenses" fld="24" baseField="0" baseItem="0" numFmtId="165"/>
    <dataField name=" 74500  Miscellaneous services (bank charges, insurance, sundry, storage)" fld="25" baseField="0" baseItem="0" numFmtId="165"/>
    <dataField name="Sum of General Operating Expenses - Activity2 " fld="32" baseField="0" baseItem="0" numFmtId="165"/>
    <dataField name="Grand Total" fld="33" baseField="0" baseItem="0" numFmtId="165"/>
  </dataFields>
  <formats count="27">
    <format dxfId="51">
      <pivotArea outline="0" fieldPosition="0"/>
    </format>
    <format dxfId="50">
      <pivotArea outline="0" fieldPosition="0">
        <references count="1">
          <reference field="4294967294" count="15" selected="0"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9">
      <pivotArea outline="0" fieldPosition="0">
        <references count="1">
          <reference field="4294967294" count="1" selected="0">
            <x v="11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7">
      <pivotArea outline="0" fieldPosition="0">
        <references count="1">
          <reference field="4294967294" count="1" selected="0">
            <x v="23"/>
          </reference>
        </references>
      </pivotArea>
    </format>
    <format dxfId="46">
      <pivotArea outline="0" fieldPosition="0">
        <references count="1">
          <reference field="4294967294" count="16" selected="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45">
      <pivotArea outline="0" fieldPosition="0">
        <references count="1">
          <reference field="4294967294" count="1" selected="0">
            <x v="1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43">
      <pivotArea outline="0" fieldPosition="0">
        <references count="1">
          <reference field="4294967294" count="1" selected="0">
            <x v="23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41">
      <pivotArea outline="0" fieldPosition="0">
        <references count="1">
          <reference field="4294967294" count="1" selected="0">
            <x v="24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9">
      <pivotArea outline="0" fieldPosition="0">
        <references count="1">
          <reference field="4294967294" count="1" selected="0">
            <x v="24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7">
      <pivotArea outline="0" fieldPosition="0">
        <references count="1">
          <reference field="4294967294" count="1" selected="0">
            <x v="24"/>
          </reference>
        </references>
      </pivotArea>
    </format>
    <format dxfId="36">
      <pivotArea outline="0" fieldPosition="0">
        <references count="1">
          <reference field="4294967294" count="1" selected="0">
            <x v="24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4"/>
          </reference>
        </references>
      </pivotArea>
    </format>
    <format>
      <pivotArea type="all" dataOnly="0" outline="0" fieldPosition="0"/>
    </format>
    <format dxfId="34">
      <pivotArea outline="0" fieldPosition="0">
        <references count="1">
          <reference field="4294967294" count="18" selected="0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3">
      <pivotArea outline="0" fieldPosition="0">
        <references count="1">
          <reference field="4294967294" count="1" selected="0"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1">
      <pivotArea outline="0" fieldPosition="0">
        <references count="1">
          <reference field="4294967294" count="1" selected="0">
            <x v="6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">
      <pivotArea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36"/>
  <sheetViews>
    <sheetView tabSelected="1" workbookViewId="0">
      <selection activeCell="A14" sqref="A14"/>
    </sheetView>
  </sheetViews>
  <sheetFormatPr defaultRowHeight="15" x14ac:dyDescent="0.3"/>
  <cols>
    <col min="1" max="1" width="69.7109375" customWidth="1"/>
    <col min="2" max="2" width="19.85546875" style="158" customWidth="1"/>
    <col min="3" max="3" width="14.28515625" customWidth="1"/>
    <col min="4" max="13" width="12" customWidth="1"/>
    <col min="14" max="14" width="5.5703125" customWidth="1"/>
    <col min="15" max="15" width="10.7109375" customWidth="1"/>
    <col min="16" max="16" width="6.7109375" customWidth="1"/>
    <col min="17" max="18" width="4" customWidth="1"/>
    <col min="19" max="19" width="6.7109375" customWidth="1"/>
    <col min="20" max="21" width="4" customWidth="1"/>
    <col min="22" max="22" width="6.7109375" customWidth="1"/>
    <col min="23" max="23" width="4" customWidth="1"/>
    <col min="24" max="24" width="6.7109375" customWidth="1"/>
    <col min="25" max="25" width="5" customWidth="1"/>
    <col min="26" max="26" width="7.7109375" customWidth="1"/>
    <col min="27" max="27" width="10.7109375" bestFit="1" customWidth="1"/>
    <col min="257" max="257" width="69.7109375" customWidth="1"/>
    <col min="258" max="258" width="24.85546875" customWidth="1"/>
    <col min="259" max="269" width="12" customWidth="1"/>
    <col min="270" max="270" width="5.5703125" customWidth="1"/>
    <col min="271" max="271" width="10.7109375" customWidth="1"/>
    <col min="272" max="272" width="6.7109375" customWidth="1"/>
    <col min="273" max="274" width="4" customWidth="1"/>
    <col min="275" max="275" width="6.7109375" customWidth="1"/>
    <col min="276" max="277" width="4" customWidth="1"/>
    <col min="278" max="278" width="6.7109375" customWidth="1"/>
    <col min="279" max="279" width="4" customWidth="1"/>
    <col min="280" max="280" width="6.7109375" customWidth="1"/>
    <col min="281" max="281" width="5" customWidth="1"/>
    <col min="282" max="282" width="7.7109375" customWidth="1"/>
    <col min="283" max="283" width="10.7109375" bestFit="1" customWidth="1"/>
    <col min="513" max="513" width="69.7109375" customWidth="1"/>
    <col min="514" max="514" width="24.85546875" customWidth="1"/>
    <col min="515" max="525" width="12" customWidth="1"/>
    <col min="526" max="526" width="5.5703125" customWidth="1"/>
    <col min="527" max="527" width="10.7109375" customWidth="1"/>
    <col min="528" max="528" width="6.7109375" customWidth="1"/>
    <col min="529" max="530" width="4" customWidth="1"/>
    <col min="531" max="531" width="6.7109375" customWidth="1"/>
    <col min="532" max="533" width="4" customWidth="1"/>
    <col min="534" max="534" width="6.7109375" customWidth="1"/>
    <col min="535" max="535" width="4" customWidth="1"/>
    <col min="536" max="536" width="6.7109375" customWidth="1"/>
    <col min="537" max="537" width="5" customWidth="1"/>
    <col min="538" max="538" width="7.7109375" customWidth="1"/>
    <col min="539" max="539" width="10.7109375" bestFit="1" customWidth="1"/>
    <col min="769" max="769" width="69.7109375" customWidth="1"/>
    <col min="770" max="770" width="24.85546875" customWidth="1"/>
    <col min="771" max="781" width="12" customWidth="1"/>
    <col min="782" max="782" width="5.5703125" customWidth="1"/>
    <col min="783" max="783" width="10.7109375" customWidth="1"/>
    <col min="784" max="784" width="6.7109375" customWidth="1"/>
    <col min="785" max="786" width="4" customWidth="1"/>
    <col min="787" max="787" width="6.7109375" customWidth="1"/>
    <col min="788" max="789" width="4" customWidth="1"/>
    <col min="790" max="790" width="6.7109375" customWidth="1"/>
    <col min="791" max="791" width="4" customWidth="1"/>
    <col min="792" max="792" width="6.7109375" customWidth="1"/>
    <col min="793" max="793" width="5" customWidth="1"/>
    <col min="794" max="794" width="7.7109375" customWidth="1"/>
    <col min="795" max="795" width="10.7109375" bestFit="1" customWidth="1"/>
    <col min="1025" max="1025" width="69.7109375" customWidth="1"/>
    <col min="1026" max="1026" width="24.85546875" customWidth="1"/>
    <col min="1027" max="1037" width="12" customWidth="1"/>
    <col min="1038" max="1038" width="5.5703125" customWidth="1"/>
    <col min="1039" max="1039" width="10.7109375" customWidth="1"/>
    <col min="1040" max="1040" width="6.7109375" customWidth="1"/>
    <col min="1041" max="1042" width="4" customWidth="1"/>
    <col min="1043" max="1043" width="6.7109375" customWidth="1"/>
    <col min="1044" max="1045" width="4" customWidth="1"/>
    <col min="1046" max="1046" width="6.7109375" customWidth="1"/>
    <col min="1047" max="1047" width="4" customWidth="1"/>
    <col min="1048" max="1048" width="6.7109375" customWidth="1"/>
    <col min="1049" max="1049" width="5" customWidth="1"/>
    <col min="1050" max="1050" width="7.7109375" customWidth="1"/>
    <col min="1051" max="1051" width="10.7109375" bestFit="1" customWidth="1"/>
    <col min="1281" max="1281" width="69.7109375" customWidth="1"/>
    <col min="1282" max="1282" width="24.85546875" customWidth="1"/>
    <col min="1283" max="1293" width="12" customWidth="1"/>
    <col min="1294" max="1294" width="5.5703125" customWidth="1"/>
    <col min="1295" max="1295" width="10.7109375" customWidth="1"/>
    <col min="1296" max="1296" width="6.7109375" customWidth="1"/>
    <col min="1297" max="1298" width="4" customWidth="1"/>
    <col min="1299" max="1299" width="6.7109375" customWidth="1"/>
    <col min="1300" max="1301" width="4" customWidth="1"/>
    <col min="1302" max="1302" width="6.7109375" customWidth="1"/>
    <col min="1303" max="1303" width="4" customWidth="1"/>
    <col min="1304" max="1304" width="6.7109375" customWidth="1"/>
    <col min="1305" max="1305" width="5" customWidth="1"/>
    <col min="1306" max="1306" width="7.7109375" customWidth="1"/>
    <col min="1307" max="1307" width="10.7109375" bestFit="1" customWidth="1"/>
    <col min="1537" max="1537" width="69.7109375" customWidth="1"/>
    <col min="1538" max="1538" width="24.85546875" customWidth="1"/>
    <col min="1539" max="1549" width="12" customWidth="1"/>
    <col min="1550" max="1550" width="5.5703125" customWidth="1"/>
    <col min="1551" max="1551" width="10.7109375" customWidth="1"/>
    <col min="1552" max="1552" width="6.7109375" customWidth="1"/>
    <col min="1553" max="1554" width="4" customWidth="1"/>
    <col min="1555" max="1555" width="6.7109375" customWidth="1"/>
    <col min="1556" max="1557" width="4" customWidth="1"/>
    <col min="1558" max="1558" width="6.7109375" customWidth="1"/>
    <col min="1559" max="1559" width="4" customWidth="1"/>
    <col min="1560" max="1560" width="6.7109375" customWidth="1"/>
    <col min="1561" max="1561" width="5" customWidth="1"/>
    <col min="1562" max="1562" width="7.7109375" customWidth="1"/>
    <col min="1563" max="1563" width="10.7109375" bestFit="1" customWidth="1"/>
    <col min="1793" max="1793" width="69.7109375" customWidth="1"/>
    <col min="1794" max="1794" width="24.85546875" customWidth="1"/>
    <col min="1795" max="1805" width="12" customWidth="1"/>
    <col min="1806" max="1806" width="5.5703125" customWidth="1"/>
    <col min="1807" max="1807" width="10.7109375" customWidth="1"/>
    <col min="1808" max="1808" width="6.7109375" customWidth="1"/>
    <col min="1809" max="1810" width="4" customWidth="1"/>
    <col min="1811" max="1811" width="6.7109375" customWidth="1"/>
    <col min="1812" max="1813" width="4" customWidth="1"/>
    <col min="1814" max="1814" width="6.7109375" customWidth="1"/>
    <col min="1815" max="1815" width="4" customWidth="1"/>
    <col min="1816" max="1816" width="6.7109375" customWidth="1"/>
    <col min="1817" max="1817" width="5" customWidth="1"/>
    <col min="1818" max="1818" width="7.7109375" customWidth="1"/>
    <col min="1819" max="1819" width="10.7109375" bestFit="1" customWidth="1"/>
    <col min="2049" max="2049" width="69.7109375" customWidth="1"/>
    <col min="2050" max="2050" width="24.85546875" customWidth="1"/>
    <col min="2051" max="2061" width="12" customWidth="1"/>
    <col min="2062" max="2062" width="5.5703125" customWidth="1"/>
    <col min="2063" max="2063" width="10.7109375" customWidth="1"/>
    <col min="2064" max="2064" width="6.7109375" customWidth="1"/>
    <col min="2065" max="2066" width="4" customWidth="1"/>
    <col min="2067" max="2067" width="6.7109375" customWidth="1"/>
    <col min="2068" max="2069" width="4" customWidth="1"/>
    <col min="2070" max="2070" width="6.7109375" customWidth="1"/>
    <col min="2071" max="2071" width="4" customWidth="1"/>
    <col min="2072" max="2072" width="6.7109375" customWidth="1"/>
    <col min="2073" max="2073" width="5" customWidth="1"/>
    <col min="2074" max="2074" width="7.7109375" customWidth="1"/>
    <col min="2075" max="2075" width="10.7109375" bestFit="1" customWidth="1"/>
    <col min="2305" max="2305" width="69.7109375" customWidth="1"/>
    <col min="2306" max="2306" width="24.85546875" customWidth="1"/>
    <col min="2307" max="2317" width="12" customWidth="1"/>
    <col min="2318" max="2318" width="5.5703125" customWidth="1"/>
    <col min="2319" max="2319" width="10.7109375" customWidth="1"/>
    <col min="2320" max="2320" width="6.7109375" customWidth="1"/>
    <col min="2321" max="2322" width="4" customWidth="1"/>
    <col min="2323" max="2323" width="6.7109375" customWidth="1"/>
    <col min="2324" max="2325" width="4" customWidth="1"/>
    <col min="2326" max="2326" width="6.7109375" customWidth="1"/>
    <col min="2327" max="2327" width="4" customWidth="1"/>
    <col min="2328" max="2328" width="6.7109375" customWidth="1"/>
    <col min="2329" max="2329" width="5" customWidth="1"/>
    <col min="2330" max="2330" width="7.7109375" customWidth="1"/>
    <col min="2331" max="2331" width="10.7109375" bestFit="1" customWidth="1"/>
    <col min="2561" max="2561" width="69.7109375" customWidth="1"/>
    <col min="2562" max="2562" width="24.85546875" customWidth="1"/>
    <col min="2563" max="2573" width="12" customWidth="1"/>
    <col min="2574" max="2574" width="5.5703125" customWidth="1"/>
    <col min="2575" max="2575" width="10.7109375" customWidth="1"/>
    <col min="2576" max="2576" width="6.7109375" customWidth="1"/>
    <col min="2577" max="2578" width="4" customWidth="1"/>
    <col min="2579" max="2579" width="6.7109375" customWidth="1"/>
    <col min="2580" max="2581" width="4" customWidth="1"/>
    <col min="2582" max="2582" width="6.7109375" customWidth="1"/>
    <col min="2583" max="2583" width="4" customWidth="1"/>
    <col min="2584" max="2584" width="6.7109375" customWidth="1"/>
    <col min="2585" max="2585" width="5" customWidth="1"/>
    <col min="2586" max="2586" width="7.7109375" customWidth="1"/>
    <col min="2587" max="2587" width="10.7109375" bestFit="1" customWidth="1"/>
    <col min="2817" max="2817" width="69.7109375" customWidth="1"/>
    <col min="2818" max="2818" width="24.85546875" customWidth="1"/>
    <col min="2819" max="2829" width="12" customWidth="1"/>
    <col min="2830" max="2830" width="5.5703125" customWidth="1"/>
    <col min="2831" max="2831" width="10.7109375" customWidth="1"/>
    <col min="2832" max="2832" width="6.7109375" customWidth="1"/>
    <col min="2833" max="2834" width="4" customWidth="1"/>
    <col min="2835" max="2835" width="6.7109375" customWidth="1"/>
    <col min="2836" max="2837" width="4" customWidth="1"/>
    <col min="2838" max="2838" width="6.7109375" customWidth="1"/>
    <col min="2839" max="2839" width="4" customWidth="1"/>
    <col min="2840" max="2840" width="6.7109375" customWidth="1"/>
    <col min="2841" max="2841" width="5" customWidth="1"/>
    <col min="2842" max="2842" width="7.7109375" customWidth="1"/>
    <col min="2843" max="2843" width="10.7109375" bestFit="1" customWidth="1"/>
    <col min="3073" max="3073" width="69.7109375" customWidth="1"/>
    <col min="3074" max="3074" width="24.85546875" customWidth="1"/>
    <col min="3075" max="3085" width="12" customWidth="1"/>
    <col min="3086" max="3086" width="5.5703125" customWidth="1"/>
    <col min="3087" max="3087" width="10.7109375" customWidth="1"/>
    <col min="3088" max="3088" width="6.7109375" customWidth="1"/>
    <col min="3089" max="3090" width="4" customWidth="1"/>
    <col min="3091" max="3091" width="6.7109375" customWidth="1"/>
    <col min="3092" max="3093" width="4" customWidth="1"/>
    <col min="3094" max="3094" width="6.7109375" customWidth="1"/>
    <col min="3095" max="3095" width="4" customWidth="1"/>
    <col min="3096" max="3096" width="6.7109375" customWidth="1"/>
    <col min="3097" max="3097" width="5" customWidth="1"/>
    <col min="3098" max="3098" width="7.7109375" customWidth="1"/>
    <col min="3099" max="3099" width="10.7109375" bestFit="1" customWidth="1"/>
    <col min="3329" max="3329" width="69.7109375" customWidth="1"/>
    <col min="3330" max="3330" width="24.85546875" customWidth="1"/>
    <col min="3331" max="3341" width="12" customWidth="1"/>
    <col min="3342" max="3342" width="5.5703125" customWidth="1"/>
    <col min="3343" max="3343" width="10.7109375" customWidth="1"/>
    <col min="3344" max="3344" width="6.7109375" customWidth="1"/>
    <col min="3345" max="3346" width="4" customWidth="1"/>
    <col min="3347" max="3347" width="6.7109375" customWidth="1"/>
    <col min="3348" max="3349" width="4" customWidth="1"/>
    <col min="3350" max="3350" width="6.7109375" customWidth="1"/>
    <col min="3351" max="3351" width="4" customWidth="1"/>
    <col min="3352" max="3352" width="6.7109375" customWidth="1"/>
    <col min="3353" max="3353" width="5" customWidth="1"/>
    <col min="3354" max="3354" width="7.7109375" customWidth="1"/>
    <col min="3355" max="3355" width="10.7109375" bestFit="1" customWidth="1"/>
    <col min="3585" max="3585" width="69.7109375" customWidth="1"/>
    <col min="3586" max="3586" width="24.85546875" customWidth="1"/>
    <col min="3587" max="3597" width="12" customWidth="1"/>
    <col min="3598" max="3598" width="5.5703125" customWidth="1"/>
    <col min="3599" max="3599" width="10.7109375" customWidth="1"/>
    <col min="3600" max="3600" width="6.7109375" customWidth="1"/>
    <col min="3601" max="3602" width="4" customWidth="1"/>
    <col min="3603" max="3603" width="6.7109375" customWidth="1"/>
    <col min="3604" max="3605" width="4" customWidth="1"/>
    <col min="3606" max="3606" width="6.7109375" customWidth="1"/>
    <col min="3607" max="3607" width="4" customWidth="1"/>
    <col min="3608" max="3608" width="6.7109375" customWidth="1"/>
    <col min="3609" max="3609" width="5" customWidth="1"/>
    <col min="3610" max="3610" width="7.7109375" customWidth="1"/>
    <col min="3611" max="3611" width="10.7109375" bestFit="1" customWidth="1"/>
    <col min="3841" max="3841" width="69.7109375" customWidth="1"/>
    <col min="3842" max="3842" width="24.85546875" customWidth="1"/>
    <col min="3843" max="3853" width="12" customWidth="1"/>
    <col min="3854" max="3854" width="5.5703125" customWidth="1"/>
    <col min="3855" max="3855" width="10.7109375" customWidth="1"/>
    <col min="3856" max="3856" width="6.7109375" customWidth="1"/>
    <col min="3857" max="3858" width="4" customWidth="1"/>
    <col min="3859" max="3859" width="6.7109375" customWidth="1"/>
    <col min="3860" max="3861" width="4" customWidth="1"/>
    <col min="3862" max="3862" width="6.7109375" customWidth="1"/>
    <col min="3863" max="3863" width="4" customWidth="1"/>
    <col min="3864" max="3864" width="6.7109375" customWidth="1"/>
    <col min="3865" max="3865" width="5" customWidth="1"/>
    <col min="3866" max="3866" width="7.7109375" customWidth="1"/>
    <col min="3867" max="3867" width="10.7109375" bestFit="1" customWidth="1"/>
    <col min="4097" max="4097" width="69.7109375" customWidth="1"/>
    <col min="4098" max="4098" width="24.85546875" customWidth="1"/>
    <col min="4099" max="4109" width="12" customWidth="1"/>
    <col min="4110" max="4110" width="5.5703125" customWidth="1"/>
    <col min="4111" max="4111" width="10.7109375" customWidth="1"/>
    <col min="4112" max="4112" width="6.7109375" customWidth="1"/>
    <col min="4113" max="4114" width="4" customWidth="1"/>
    <col min="4115" max="4115" width="6.7109375" customWidth="1"/>
    <col min="4116" max="4117" width="4" customWidth="1"/>
    <col min="4118" max="4118" width="6.7109375" customWidth="1"/>
    <col min="4119" max="4119" width="4" customWidth="1"/>
    <col min="4120" max="4120" width="6.7109375" customWidth="1"/>
    <col min="4121" max="4121" width="5" customWidth="1"/>
    <col min="4122" max="4122" width="7.7109375" customWidth="1"/>
    <col min="4123" max="4123" width="10.7109375" bestFit="1" customWidth="1"/>
    <col min="4353" max="4353" width="69.7109375" customWidth="1"/>
    <col min="4354" max="4354" width="24.85546875" customWidth="1"/>
    <col min="4355" max="4365" width="12" customWidth="1"/>
    <col min="4366" max="4366" width="5.5703125" customWidth="1"/>
    <col min="4367" max="4367" width="10.7109375" customWidth="1"/>
    <col min="4368" max="4368" width="6.7109375" customWidth="1"/>
    <col min="4369" max="4370" width="4" customWidth="1"/>
    <col min="4371" max="4371" width="6.7109375" customWidth="1"/>
    <col min="4372" max="4373" width="4" customWidth="1"/>
    <col min="4374" max="4374" width="6.7109375" customWidth="1"/>
    <col min="4375" max="4375" width="4" customWidth="1"/>
    <col min="4376" max="4376" width="6.7109375" customWidth="1"/>
    <col min="4377" max="4377" width="5" customWidth="1"/>
    <col min="4378" max="4378" width="7.7109375" customWidth="1"/>
    <col min="4379" max="4379" width="10.7109375" bestFit="1" customWidth="1"/>
    <col min="4609" max="4609" width="69.7109375" customWidth="1"/>
    <col min="4610" max="4610" width="24.85546875" customWidth="1"/>
    <col min="4611" max="4621" width="12" customWidth="1"/>
    <col min="4622" max="4622" width="5.5703125" customWidth="1"/>
    <col min="4623" max="4623" width="10.7109375" customWidth="1"/>
    <col min="4624" max="4624" width="6.7109375" customWidth="1"/>
    <col min="4625" max="4626" width="4" customWidth="1"/>
    <col min="4627" max="4627" width="6.7109375" customWidth="1"/>
    <col min="4628" max="4629" width="4" customWidth="1"/>
    <col min="4630" max="4630" width="6.7109375" customWidth="1"/>
    <col min="4631" max="4631" width="4" customWidth="1"/>
    <col min="4632" max="4632" width="6.7109375" customWidth="1"/>
    <col min="4633" max="4633" width="5" customWidth="1"/>
    <col min="4634" max="4634" width="7.7109375" customWidth="1"/>
    <col min="4635" max="4635" width="10.7109375" bestFit="1" customWidth="1"/>
    <col min="4865" max="4865" width="69.7109375" customWidth="1"/>
    <col min="4866" max="4866" width="24.85546875" customWidth="1"/>
    <col min="4867" max="4877" width="12" customWidth="1"/>
    <col min="4878" max="4878" width="5.5703125" customWidth="1"/>
    <col min="4879" max="4879" width="10.7109375" customWidth="1"/>
    <col min="4880" max="4880" width="6.7109375" customWidth="1"/>
    <col min="4881" max="4882" width="4" customWidth="1"/>
    <col min="4883" max="4883" width="6.7109375" customWidth="1"/>
    <col min="4884" max="4885" width="4" customWidth="1"/>
    <col min="4886" max="4886" width="6.7109375" customWidth="1"/>
    <col min="4887" max="4887" width="4" customWidth="1"/>
    <col min="4888" max="4888" width="6.7109375" customWidth="1"/>
    <col min="4889" max="4889" width="5" customWidth="1"/>
    <col min="4890" max="4890" width="7.7109375" customWidth="1"/>
    <col min="4891" max="4891" width="10.7109375" bestFit="1" customWidth="1"/>
    <col min="5121" max="5121" width="69.7109375" customWidth="1"/>
    <col min="5122" max="5122" width="24.85546875" customWidth="1"/>
    <col min="5123" max="5133" width="12" customWidth="1"/>
    <col min="5134" max="5134" width="5.5703125" customWidth="1"/>
    <col min="5135" max="5135" width="10.7109375" customWidth="1"/>
    <col min="5136" max="5136" width="6.7109375" customWidth="1"/>
    <col min="5137" max="5138" width="4" customWidth="1"/>
    <col min="5139" max="5139" width="6.7109375" customWidth="1"/>
    <col min="5140" max="5141" width="4" customWidth="1"/>
    <col min="5142" max="5142" width="6.7109375" customWidth="1"/>
    <col min="5143" max="5143" width="4" customWidth="1"/>
    <col min="5144" max="5144" width="6.7109375" customWidth="1"/>
    <col min="5145" max="5145" width="5" customWidth="1"/>
    <col min="5146" max="5146" width="7.7109375" customWidth="1"/>
    <col min="5147" max="5147" width="10.7109375" bestFit="1" customWidth="1"/>
    <col min="5377" max="5377" width="69.7109375" customWidth="1"/>
    <col min="5378" max="5378" width="24.85546875" customWidth="1"/>
    <col min="5379" max="5389" width="12" customWidth="1"/>
    <col min="5390" max="5390" width="5.5703125" customWidth="1"/>
    <col min="5391" max="5391" width="10.7109375" customWidth="1"/>
    <col min="5392" max="5392" width="6.7109375" customWidth="1"/>
    <col min="5393" max="5394" width="4" customWidth="1"/>
    <col min="5395" max="5395" width="6.7109375" customWidth="1"/>
    <col min="5396" max="5397" width="4" customWidth="1"/>
    <col min="5398" max="5398" width="6.7109375" customWidth="1"/>
    <col min="5399" max="5399" width="4" customWidth="1"/>
    <col min="5400" max="5400" width="6.7109375" customWidth="1"/>
    <col min="5401" max="5401" width="5" customWidth="1"/>
    <col min="5402" max="5402" width="7.7109375" customWidth="1"/>
    <col min="5403" max="5403" width="10.7109375" bestFit="1" customWidth="1"/>
    <col min="5633" max="5633" width="69.7109375" customWidth="1"/>
    <col min="5634" max="5634" width="24.85546875" customWidth="1"/>
    <col min="5635" max="5645" width="12" customWidth="1"/>
    <col min="5646" max="5646" width="5.5703125" customWidth="1"/>
    <col min="5647" max="5647" width="10.7109375" customWidth="1"/>
    <col min="5648" max="5648" width="6.7109375" customWidth="1"/>
    <col min="5649" max="5650" width="4" customWidth="1"/>
    <col min="5651" max="5651" width="6.7109375" customWidth="1"/>
    <col min="5652" max="5653" width="4" customWidth="1"/>
    <col min="5654" max="5654" width="6.7109375" customWidth="1"/>
    <col min="5655" max="5655" width="4" customWidth="1"/>
    <col min="5656" max="5656" width="6.7109375" customWidth="1"/>
    <col min="5657" max="5657" width="5" customWidth="1"/>
    <col min="5658" max="5658" width="7.7109375" customWidth="1"/>
    <col min="5659" max="5659" width="10.7109375" bestFit="1" customWidth="1"/>
    <col min="5889" max="5889" width="69.7109375" customWidth="1"/>
    <col min="5890" max="5890" width="24.85546875" customWidth="1"/>
    <col min="5891" max="5901" width="12" customWidth="1"/>
    <col min="5902" max="5902" width="5.5703125" customWidth="1"/>
    <col min="5903" max="5903" width="10.7109375" customWidth="1"/>
    <col min="5904" max="5904" width="6.7109375" customWidth="1"/>
    <col min="5905" max="5906" width="4" customWidth="1"/>
    <col min="5907" max="5907" width="6.7109375" customWidth="1"/>
    <col min="5908" max="5909" width="4" customWidth="1"/>
    <col min="5910" max="5910" width="6.7109375" customWidth="1"/>
    <col min="5911" max="5911" width="4" customWidth="1"/>
    <col min="5912" max="5912" width="6.7109375" customWidth="1"/>
    <col min="5913" max="5913" width="5" customWidth="1"/>
    <col min="5914" max="5914" width="7.7109375" customWidth="1"/>
    <col min="5915" max="5915" width="10.7109375" bestFit="1" customWidth="1"/>
    <col min="6145" max="6145" width="69.7109375" customWidth="1"/>
    <col min="6146" max="6146" width="24.85546875" customWidth="1"/>
    <col min="6147" max="6157" width="12" customWidth="1"/>
    <col min="6158" max="6158" width="5.5703125" customWidth="1"/>
    <col min="6159" max="6159" width="10.7109375" customWidth="1"/>
    <col min="6160" max="6160" width="6.7109375" customWidth="1"/>
    <col min="6161" max="6162" width="4" customWidth="1"/>
    <col min="6163" max="6163" width="6.7109375" customWidth="1"/>
    <col min="6164" max="6165" width="4" customWidth="1"/>
    <col min="6166" max="6166" width="6.7109375" customWidth="1"/>
    <col min="6167" max="6167" width="4" customWidth="1"/>
    <col min="6168" max="6168" width="6.7109375" customWidth="1"/>
    <col min="6169" max="6169" width="5" customWidth="1"/>
    <col min="6170" max="6170" width="7.7109375" customWidth="1"/>
    <col min="6171" max="6171" width="10.7109375" bestFit="1" customWidth="1"/>
    <col min="6401" max="6401" width="69.7109375" customWidth="1"/>
    <col min="6402" max="6402" width="24.85546875" customWidth="1"/>
    <col min="6403" max="6413" width="12" customWidth="1"/>
    <col min="6414" max="6414" width="5.5703125" customWidth="1"/>
    <col min="6415" max="6415" width="10.7109375" customWidth="1"/>
    <col min="6416" max="6416" width="6.7109375" customWidth="1"/>
    <col min="6417" max="6418" width="4" customWidth="1"/>
    <col min="6419" max="6419" width="6.7109375" customWidth="1"/>
    <col min="6420" max="6421" width="4" customWidth="1"/>
    <col min="6422" max="6422" width="6.7109375" customWidth="1"/>
    <col min="6423" max="6423" width="4" customWidth="1"/>
    <col min="6424" max="6424" width="6.7109375" customWidth="1"/>
    <col min="6425" max="6425" width="5" customWidth="1"/>
    <col min="6426" max="6426" width="7.7109375" customWidth="1"/>
    <col min="6427" max="6427" width="10.7109375" bestFit="1" customWidth="1"/>
    <col min="6657" max="6657" width="69.7109375" customWidth="1"/>
    <col min="6658" max="6658" width="24.85546875" customWidth="1"/>
    <col min="6659" max="6669" width="12" customWidth="1"/>
    <col min="6670" max="6670" width="5.5703125" customWidth="1"/>
    <col min="6671" max="6671" width="10.7109375" customWidth="1"/>
    <col min="6672" max="6672" width="6.7109375" customWidth="1"/>
    <col min="6673" max="6674" width="4" customWidth="1"/>
    <col min="6675" max="6675" width="6.7109375" customWidth="1"/>
    <col min="6676" max="6677" width="4" customWidth="1"/>
    <col min="6678" max="6678" width="6.7109375" customWidth="1"/>
    <col min="6679" max="6679" width="4" customWidth="1"/>
    <col min="6680" max="6680" width="6.7109375" customWidth="1"/>
    <col min="6681" max="6681" width="5" customWidth="1"/>
    <col min="6682" max="6682" width="7.7109375" customWidth="1"/>
    <col min="6683" max="6683" width="10.7109375" bestFit="1" customWidth="1"/>
    <col min="6913" max="6913" width="69.7109375" customWidth="1"/>
    <col min="6914" max="6914" width="24.85546875" customWidth="1"/>
    <col min="6915" max="6925" width="12" customWidth="1"/>
    <col min="6926" max="6926" width="5.5703125" customWidth="1"/>
    <col min="6927" max="6927" width="10.7109375" customWidth="1"/>
    <col min="6928" max="6928" width="6.7109375" customWidth="1"/>
    <col min="6929" max="6930" width="4" customWidth="1"/>
    <col min="6931" max="6931" width="6.7109375" customWidth="1"/>
    <col min="6932" max="6933" width="4" customWidth="1"/>
    <col min="6934" max="6934" width="6.7109375" customWidth="1"/>
    <col min="6935" max="6935" width="4" customWidth="1"/>
    <col min="6936" max="6936" width="6.7109375" customWidth="1"/>
    <col min="6937" max="6937" width="5" customWidth="1"/>
    <col min="6938" max="6938" width="7.7109375" customWidth="1"/>
    <col min="6939" max="6939" width="10.7109375" bestFit="1" customWidth="1"/>
    <col min="7169" max="7169" width="69.7109375" customWidth="1"/>
    <col min="7170" max="7170" width="24.85546875" customWidth="1"/>
    <col min="7171" max="7181" width="12" customWidth="1"/>
    <col min="7182" max="7182" width="5.5703125" customWidth="1"/>
    <col min="7183" max="7183" width="10.7109375" customWidth="1"/>
    <col min="7184" max="7184" width="6.7109375" customWidth="1"/>
    <col min="7185" max="7186" width="4" customWidth="1"/>
    <col min="7187" max="7187" width="6.7109375" customWidth="1"/>
    <col min="7188" max="7189" width="4" customWidth="1"/>
    <col min="7190" max="7190" width="6.7109375" customWidth="1"/>
    <col min="7191" max="7191" width="4" customWidth="1"/>
    <col min="7192" max="7192" width="6.7109375" customWidth="1"/>
    <col min="7193" max="7193" width="5" customWidth="1"/>
    <col min="7194" max="7194" width="7.7109375" customWidth="1"/>
    <col min="7195" max="7195" width="10.7109375" bestFit="1" customWidth="1"/>
    <col min="7425" max="7425" width="69.7109375" customWidth="1"/>
    <col min="7426" max="7426" width="24.85546875" customWidth="1"/>
    <col min="7427" max="7437" width="12" customWidth="1"/>
    <col min="7438" max="7438" width="5.5703125" customWidth="1"/>
    <col min="7439" max="7439" width="10.7109375" customWidth="1"/>
    <col min="7440" max="7440" width="6.7109375" customWidth="1"/>
    <col min="7441" max="7442" width="4" customWidth="1"/>
    <col min="7443" max="7443" width="6.7109375" customWidth="1"/>
    <col min="7444" max="7445" width="4" customWidth="1"/>
    <col min="7446" max="7446" width="6.7109375" customWidth="1"/>
    <col min="7447" max="7447" width="4" customWidth="1"/>
    <col min="7448" max="7448" width="6.7109375" customWidth="1"/>
    <col min="7449" max="7449" width="5" customWidth="1"/>
    <col min="7450" max="7450" width="7.7109375" customWidth="1"/>
    <col min="7451" max="7451" width="10.7109375" bestFit="1" customWidth="1"/>
    <col min="7681" max="7681" width="69.7109375" customWidth="1"/>
    <col min="7682" max="7682" width="24.85546875" customWidth="1"/>
    <col min="7683" max="7693" width="12" customWidth="1"/>
    <col min="7694" max="7694" width="5.5703125" customWidth="1"/>
    <col min="7695" max="7695" width="10.7109375" customWidth="1"/>
    <col min="7696" max="7696" width="6.7109375" customWidth="1"/>
    <col min="7697" max="7698" width="4" customWidth="1"/>
    <col min="7699" max="7699" width="6.7109375" customWidth="1"/>
    <col min="7700" max="7701" width="4" customWidth="1"/>
    <col min="7702" max="7702" width="6.7109375" customWidth="1"/>
    <col min="7703" max="7703" width="4" customWidth="1"/>
    <col min="7704" max="7704" width="6.7109375" customWidth="1"/>
    <col min="7705" max="7705" width="5" customWidth="1"/>
    <col min="7706" max="7706" width="7.7109375" customWidth="1"/>
    <col min="7707" max="7707" width="10.7109375" bestFit="1" customWidth="1"/>
    <col min="7937" max="7937" width="69.7109375" customWidth="1"/>
    <col min="7938" max="7938" width="24.85546875" customWidth="1"/>
    <col min="7939" max="7949" width="12" customWidth="1"/>
    <col min="7950" max="7950" width="5.5703125" customWidth="1"/>
    <col min="7951" max="7951" width="10.7109375" customWidth="1"/>
    <col min="7952" max="7952" width="6.7109375" customWidth="1"/>
    <col min="7953" max="7954" width="4" customWidth="1"/>
    <col min="7955" max="7955" width="6.7109375" customWidth="1"/>
    <col min="7956" max="7957" width="4" customWidth="1"/>
    <col min="7958" max="7958" width="6.7109375" customWidth="1"/>
    <col min="7959" max="7959" width="4" customWidth="1"/>
    <col min="7960" max="7960" width="6.7109375" customWidth="1"/>
    <col min="7961" max="7961" width="5" customWidth="1"/>
    <col min="7962" max="7962" width="7.7109375" customWidth="1"/>
    <col min="7963" max="7963" width="10.7109375" bestFit="1" customWidth="1"/>
    <col min="8193" max="8193" width="69.7109375" customWidth="1"/>
    <col min="8194" max="8194" width="24.85546875" customWidth="1"/>
    <col min="8195" max="8205" width="12" customWidth="1"/>
    <col min="8206" max="8206" width="5.5703125" customWidth="1"/>
    <col min="8207" max="8207" width="10.7109375" customWidth="1"/>
    <col min="8208" max="8208" width="6.7109375" customWidth="1"/>
    <col min="8209" max="8210" width="4" customWidth="1"/>
    <col min="8211" max="8211" width="6.7109375" customWidth="1"/>
    <col min="8212" max="8213" width="4" customWidth="1"/>
    <col min="8214" max="8214" width="6.7109375" customWidth="1"/>
    <col min="8215" max="8215" width="4" customWidth="1"/>
    <col min="8216" max="8216" width="6.7109375" customWidth="1"/>
    <col min="8217" max="8217" width="5" customWidth="1"/>
    <col min="8218" max="8218" width="7.7109375" customWidth="1"/>
    <col min="8219" max="8219" width="10.7109375" bestFit="1" customWidth="1"/>
    <col min="8449" max="8449" width="69.7109375" customWidth="1"/>
    <col min="8450" max="8450" width="24.85546875" customWidth="1"/>
    <col min="8451" max="8461" width="12" customWidth="1"/>
    <col min="8462" max="8462" width="5.5703125" customWidth="1"/>
    <col min="8463" max="8463" width="10.7109375" customWidth="1"/>
    <col min="8464" max="8464" width="6.7109375" customWidth="1"/>
    <col min="8465" max="8466" width="4" customWidth="1"/>
    <col min="8467" max="8467" width="6.7109375" customWidth="1"/>
    <col min="8468" max="8469" width="4" customWidth="1"/>
    <col min="8470" max="8470" width="6.7109375" customWidth="1"/>
    <col min="8471" max="8471" width="4" customWidth="1"/>
    <col min="8472" max="8472" width="6.7109375" customWidth="1"/>
    <col min="8473" max="8473" width="5" customWidth="1"/>
    <col min="8474" max="8474" width="7.7109375" customWidth="1"/>
    <col min="8475" max="8475" width="10.7109375" bestFit="1" customWidth="1"/>
    <col min="8705" max="8705" width="69.7109375" customWidth="1"/>
    <col min="8706" max="8706" width="24.85546875" customWidth="1"/>
    <col min="8707" max="8717" width="12" customWidth="1"/>
    <col min="8718" max="8718" width="5.5703125" customWidth="1"/>
    <col min="8719" max="8719" width="10.7109375" customWidth="1"/>
    <col min="8720" max="8720" width="6.7109375" customWidth="1"/>
    <col min="8721" max="8722" width="4" customWidth="1"/>
    <col min="8723" max="8723" width="6.7109375" customWidth="1"/>
    <col min="8724" max="8725" width="4" customWidth="1"/>
    <col min="8726" max="8726" width="6.7109375" customWidth="1"/>
    <col min="8727" max="8727" width="4" customWidth="1"/>
    <col min="8728" max="8728" width="6.7109375" customWidth="1"/>
    <col min="8729" max="8729" width="5" customWidth="1"/>
    <col min="8730" max="8730" width="7.7109375" customWidth="1"/>
    <col min="8731" max="8731" width="10.7109375" bestFit="1" customWidth="1"/>
    <col min="8961" max="8961" width="69.7109375" customWidth="1"/>
    <col min="8962" max="8962" width="24.85546875" customWidth="1"/>
    <col min="8963" max="8973" width="12" customWidth="1"/>
    <col min="8974" max="8974" width="5.5703125" customWidth="1"/>
    <col min="8975" max="8975" width="10.7109375" customWidth="1"/>
    <col min="8976" max="8976" width="6.7109375" customWidth="1"/>
    <col min="8977" max="8978" width="4" customWidth="1"/>
    <col min="8979" max="8979" width="6.7109375" customWidth="1"/>
    <col min="8980" max="8981" width="4" customWidth="1"/>
    <col min="8982" max="8982" width="6.7109375" customWidth="1"/>
    <col min="8983" max="8983" width="4" customWidth="1"/>
    <col min="8984" max="8984" width="6.7109375" customWidth="1"/>
    <col min="8985" max="8985" width="5" customWidth="1"/>
    <col min="8986" max="8986" width="7.7109375" customWidth="1"/>
    <col min="8987" max="8987" width="10.7109375" bestFit="1" customWidth="1"/>
    <col min="9217" max="9217" width="69.7109375" customWidth="1"/>
    <col min="9218" max="9218" width="24.85546875" customWidth="1"/>
    <col min="9219" max="9229" width="12" customWidth="1"/>
    <col min="9230" max="9230" width="5.5703125" customWidth="1"/>
    <col min="9231" max="9231" width="10.7109375" customWidth="1"/>
    <col min="9232" max="9232" width="6.7109375" customWidth="1"/>
    <col min="9233" max="9234" width="4" customWidth="1"/>
    <col min="9235" max="9235" width="6.7109375" customWidth="1"/>
    <col min="9236" max="9237" width="4" customWidth="1"/>
    <col min="9238" max="9238" width="6.7109375" customWidth="1"/>
    <col min="9239" max="9239" width="4" customWidth="1"/>
    <col min="9240" max="9240" width="6.7109375" customWidth="1"/>
    <col min="9241" max="9241" width="5" customWidth="1"/>
    <col min="9242" max="9242" width="7.7109375" customWidth="1"/>
    <col min="9243" max="9243" width="10.7109375" bestFit="1" customWidth="1"/>
    <col min="9473" max="9473" width="69.7109375" customWidth="1"/>
    <col min="9474" max="9474" width="24.85546875" customWidth="1"/>
    <col min="9475" max="9485" width="12" customWidth="1"/>
    <col min="9486" max="9486" width="5.5703125" customWidth="1"/>
    <col min="9487" max="9487" width="10.7109375" customWidth="1"/>
    <col min="9488" max="9488" width="6.7109375" customWidth="1"/>
    <col min="9489" max="9490" width="4" customWidth="1"/>
    <col min="9491" max="9491" width="6.7109375" customWidth="1"/>
    <col min="9492" max="9493" width="4" customWidth="1"/>
    <col min="9494" max="9494" width="6.7109375" customWidth="1"/>
    <col min="9495" max="9495" width="4" customWidth="1"/>
    <col min="9496" max="9496" width="6.7109375" customWidth="1"/>
    <col min="9497" max="9497" width="5" customWidth="1"/>
    <col min="9498" max="9498" width="7.7109375" customWidth="1"/>
    <col min="9499" max="9499" width="10.7109375" bestFit="1" customWidth="1"/>
    <col min="9729" max="9729" width="69.7109375" customWidth="1"/>
    <col min="9730" max="9730" width="24.85546875" customWidth="1"/>
    <col min="9731" max="9741" width="12" customWidth="1"/>
    <col min="9742" max="9742" width="5.5703125" customWidth="1"/>
    <col min="9743" max="9743" width="10.7109375" customWidth="1"/>
    <col min="9744" max="9744" width="6.7109375" customWidth="1"/>
    <col min="9745" max="9746" width="4" customWidth="1"/>
    <col min="9747" max="9747" width="6.7109375" customWidth="1"/>
    <col min="9748" max="9749" width="4" customWidth="1"/>
    <col min="9750" max="9750" width="6.7109375" customWidth="1"/>
    <col min="9751" max="9751" width="4" customWidth="1"/>
    <col min="9752" max="9752" width="6.7109375" customWidth="1"/>
    <col min="9753" max="9753" width="5" customWidth="1"/>
    <col min="9754" max="9754" width="7.7109375" customWidth="1"/>
    <col min="9755" max="9755" width="10.7109375" bestFit="1" customWidth="1"/>
    <col min="9985" max="9985" width="69.7109375" customWidth="1"/>
    <col min="9986" max="9986" width="24.85546875" customWidth="1"/>
    <col min="9987" max="9997" width="12" customWidth="1"/>
    <col min="9998" max="9998" width="5.5703125" customWidth="1"/>
    <col min="9999" max="9999" width="10.7109375" customWidth="1"/>
    <col min="10000" max="10000" width="6.7109375" customWidth="1"/>
    <col min="10001" max="10002" width="4" customWidth="1"/>
    <col min="10003" max="10003" width="6.7109375" customWidth="1"/>
    <col min="10004" max="10005" width="4" customWidth="1"/>
    <col min="10006" max="10006" width="6.7109375" customWidth="1"/>
    <col min="10007" max="10007" width="4" customWidth="1"/>
    <col min="10008" max="10008" width="6.7109375" customWidth="1"/>
    <col min="10009" max="10009" width="5" customWidth="1"/>
    <col min="10010" max="10010" width="7.7109375" customWidth="1"/>
    <col min="10011" max="10011" width="10.7109375" bestFit="1" customWidth="1"/>
    <col min="10241" max="10241" width="69.7109375" customWidth="1"/>
    <col min="10242" max="10242" width="24.85546875" customWidth="1"/>
    <col min="10243" max="10253" width="12" customWidth="1"/>
    <col min="10254" max="10254" width="5.5703125" customWidth="1"/>
    <col min="10255" max="10255" width="10.7109375" customWidth="1"/>
    <col min="10256" max="10256" width="6.7109375" customWidth="1"/>
    <col min="10257" max="10258" width="4" customWidth="1"/>
    <col min="10259" max="10259" width="6.7109375" customWidth="1"/>
    <col min="10260" max="10261" width="4" customWidth="1"/>
    <col min="10262" max="10262" width="6.7109375" customWidth="1"/>
    <col min="10263" max="10263" width="4" customWidth="1"/>
    <col min="10264" max="10264" width="6.7109375" customWidth="1"/>
    <col min="10265" max="10265" width="5" customWidth="1"/>
    <col min="10266" max="10266" width="7.7109375" customWidth="1"/>
    <col min="10267" max="10267" width="10.7109375" bestFit="1" customWidth="1"/>
    <col min="10497" max="10497" width="69.7109375" customWidth="1"/>
    <col min="10498" max="10498" width="24.85546875" customWidth="1"/>
    <col min="10499" max="10509" width="12" customWidth="1"/>
    <col min="10510" max="10510" width="5.5703125" customWidth="1"/>
    <col min="10511" max="10511" width="10.7109375" customWidth="1"/>
    <col min="10512" max="10512" width="6.7109375" customWidth="1"/>
    <col min="10513" max="10514" width="4" customWidth="1"/>
    <col min="10515" max="10515" width="6.7109375" customWidth="1"/>
    <col min="10516" max="10517" width="4" customWidth="1"/>
    <col min="10518" max="10518" width="6.7109375" customWidth="1"/>
    <col min="10519" max="10519" width="4" customWidth="1"/>
    <col min="10520" max="10520" width="6.7109375" customWidth="1"/>
    <col min="10521" max="10521" width="5" customWidth="1"/>
    <col min="10522" max="10522" width="7.7109375" customWidth="1"/>
    <col min="10523" max="10523" width="10.7109375" bestFit="1" customWidth="1"/>
    <col min="10753" max="10753" width="69.7109375" customWidth="1"/>
    <col min="10754" max="10754" width="24.85546875" customWidth="1"/>
    <col min="10755" max="10765" width="12" customWidth="1"/>
    <col min="10766" max="10766" width="5.5703125" customWidth="1"/>
    <col min="10767" max="10767" width="10.7109375" customWidth="1"/>
    <col min="10768" max="10768" width="6.7109375" customWidth="1"/>
    <col min="10769" max="10770" width="4" customWidth="1"/>
    <col min="10771" max="10771" width="6.7109375" customWidth="1"/>
    <col min="10772" max="10773" width="4" customWidth="1"/>
    <col min="10774" max="10774" width="6.7109375" customWidth="1"/>
    <col min="10775" max="10775" width="4" customWidth="1"/>
    <col min="10776" max="10776" width="6.7109375" customWidth="1"/>
    <col min="10777" max="10777" width="5" customWidth="1"/>
    <col min="10778" max="10778" width="7.7109375" customWidth="1"/>
    <col min="10779" max="10779" width="10.7109375" bestFit="1" customWidth="1"/>
    <col min="11009" max="11009" width="69.7109375" customWidth="1"/>
    <col min="11010" max="11010" width="24.85546875" customWidth="1"/>
    <col min="11011" max="11021" width="12" customWidth="1"/>
    <col min="11022" max="11022" width="5.5703125" customWidth="1"/>
    <col min="11023" max="11023" width="10.7109375" customWidth="1"/>
    <col min="11024" max="11024" width="6.7109375" customWidth="1"/>
    <col min="11025" max="11026" width="4" customWidth="1"/>
    <col min="11027" max="11027" width="6.7109375" customWidth="1"/>
    <col min="11028" max="11029" width="4" customWidth="1"/>
    <col min="11030" max="11030" width="6.7109375" customWidth="1"/>
    <col min="11031" max="11031" width="4" customWidth="1"/>
    <col min="11032" max="11032" width="6.7109375" customWidth="1"/>
    <col min="11033" max="11033" width="5" customWidth="1"/>
    <col min="11034" max="11034" width="7.7109375" customWidth="1"/>
    <col min="11035" max="11035" width="10.7109375" bestFit="1" customWidth="1"/>
    <col min="11265" max="11265" width="69.7109375" customWidth="1"/>
    <col min="11266" max="11266" width="24.85546875" customWidth="1"/>
    <col min="11267" max="11277" width="12" customWidth="1"/>
    <col min="11278" max="11278" width="5.5703125" customWidth="1"/>
    <col min="11279" max="11279" width="10.7109375" customWidth="1"/>
    <col min="11280" max="11280" width="6.7109375" customWidth="1"/>
    <col min="11281" max="11282" width="4" customWidth="1"/>
    <col min="11283" max="11283" width="6.7109375" customWidth="1"/>
    <col min="11284" max="11285" width="4" customWidth="1"/>
    <col min="11286" max="11286" width="6.7109375" customWidth="1"/>
    <col min="11287" max="11287" width="4" customWidth="1"/>
    <col min="11288" max="11288" width="6.7109375" customWidth="1"/>
    <col min="11289" max="11289" width="5" customWidth="1"/>
    <col min="11290" max="11290" width="7.7109375" customWidth="1"/>
    <col min="11291" max="11291" width="10.7109375" bestFit="1" customWidth="1"/>
    <col min="11521" max="11521" width="69.7109375" customWidth="1"/>
    <col min="11522" max="11522" width="24.85546875" customWidth="1"/>
    <col min="11523" max="11533" width="12" customWidth="1"/>
    <col min="11534" max="11534" width="5.5703125" customWidth="1"/>
    <col min="11535" max="11535" width="10.7109375" customWidth="1"/>
    <col min="11536" max="11536" width="6.7109375" customWidth="1"/>
    <col min="11537" max="11538" width="4" customWidth="1"/>
    <col min="11539" max="11539" width="6.7109375" customWidth="1"/>
    <col min="11540" max="11541" width="4" customWidth="1"/>
    <col min="11542" max="11542" width="6.7109375" customWidth="1"/>
    <col min="11543" max="11543" width="4" customWidth="1"/>
    <col min="11544" max="11544" width="6.7109375" customWidth="1"/>
    <col min="11545" max="11545" width="5" customWidth="1"/>
    <col min="11546" max="11546" width="7.7109375" customWidth="1"/>
    <col min="11547" max="11547" width="10.7109375" bestFit="1" customWidth="1"/>
    <col min="11777" max="11777" width="69.7109375" customWidth="1"/>
    <col min="11778" max="11778" width="24.85546875" customWidth="1"/>
    <col min="11779" max="11789" width="12" customWidth="1"/>
    <col min="11790" max="11790" width="5.5703125" customWidth="1"/>
    <col min="11791" max="11791" width="10.7109375" customWidth="1"/>
    <col min="11792" max="11792" width="6.7109375" customWidth="1"/>
    <col min="11793" max="11794" width="4" customWidth="1"/>
    <col min="11795" max="11795" width="6.7109375" customWidth="1"/>
    <col min="11796" max="11797" width="4" customWidth="1"/>
    <col min="11798" max="11798" width="6.7109375" customWidth="1"/>
    <col min="11799" max="11799" width="4" customWidth="1"/>
    <col min="11800" max="11800" width="6.7109375" customWidth="1"/>
    <col min="11801" max="11801" width="5" customWidth="1"/>
    <col min="11802" max="11802" width="7.7109375" customWidth="1"/>
    <col min="11803" max="11803" width="10.7109375" bestFit="1" customWidth="1"/>
    <col min="12033" max="12033" width="69.7109375" customWidth="1"/>
    <col min="12034" max="12034" width="24.85546875" customWidth="1"/>
    <col min="12035" max="12045" width="12" customWidth="1"/>
    <col min="12046" max="12046" width="5.5703125" customWidth="1"/>
    <col min="12047" max="12047" width="10.7109375" customWidth="1"/>
    <col min="12048" max="12048" width="6.7109375" customWidth="1"/>
    <col min="12049" max="12050" width="4" customWidth="1"/>
    <col min="12051" max="12051" width="6.7109375" customWidth="1"/>
    <col min="12052" max="12053" width="4" customWidth="1"/>
    <col min="12054" max="12054" width="6.7109375" customWidth="1"/>
    <col min="12055" max="12055" width="4" customWidth="1"/>
    <col min="12056" max="12056" width="6.7109375" customWidth="1"/>
    <col min="12057" max="12057" width="5" customWidth="1"/>
    <col min="12058" max="12058" width="7.7109375" customWidth="1"/>
    <col min="12059" max="12059" width="10.7109375" bestFit="1" customWidth="1"/>
    <col min="12289" max="12289" width="69.7109375" customWidth="1"/>
    <col min="12290" max="12290" width="24.85546875" customWidth="1"/>
    <col min="12291" max="12301" width="12" customWidth="1"/>
    <col min="12302" max="12302" width="5.5703125" customWidth="1"/>
    <col min="12303" max="12303" width="10.7109375" customWidth="1"/>
    <col min="12304" max="12304" width="6.7109375" customWidth="1"/>
    <col min="12305" max="12306" width="4" customWidth="1"/>
    <col min="12307" max="12307" width="6.7109375" customWidth="1"/>
    <col min="12308" max="12309" width="4" customWidth="1"/>
    <col min="12310" max="12310" width="6.7109375" customWidth="1"/>
    <col min="12311" max="12311" width="4" customWidth="1"/>
    <col min="12312" max="12312" width="6.7109375" customWidth="1"/>
    <col min="12313" max="12313" width="5" customWidth="1"/>
    <col min="12314" max="12314" width="7.7109375" customWidth="1"/>
    <col min="12315" max="12315" width="10.7109375" bestFit="1" customWidth="1"/>
    <col min="12545" max="12545" width="69.7109375" customWidth="1"/>
    <col min="12546" max="12546" width="24.85546875" customWidth="1"/>
    <col min="12547" max="12557" width="12" customWidth="1"/>
    <col min="12558" max="12558" width="5.5703125" customWidth="1"/>
    <col min="12559" max="12559" width="10.7109375" customWidth="1"/>
    <col min="12560" max="12560" width="6.7109375" customWidth="1"/>
    <col min="12561" max="12562" width="4" customWidth="1"/>
    <col min="12563" max="12563" width="6.7109375" customWidth="1"/>
    <col min="12564" max="12565" width="4" customWidth="1"/>
    <col min="12566" max="12566" width="6.7109375" customWidth="1"/>
    <col min="12567" max="12567" width="4" customWidth="1"/>
    <col min="12568" max="12568" width="6.7109375" customWidth="1"/>
    <col min="12569" max="12569" width="5" customWidth="1"/>
    <col min="12570" max="12570" width="7.7109375" customWidth="1"/>
    <col min="12571" max="12571" width="10.7109375" bestFit="1" customWidth="1"/>
    <col min="12801" max="12801" width="69.7109375" customWidth="1"/>
    <col min="12802" max="12802" width="24.85546875" customWidth="1"/>
    <col min="12803" max="12813" width="12" customWidth="1"/>
    <col min="12814" max="12814" width="5.5703125" customWidth="1"/>
    <col min="12815" max="12815" width="10.7109375" customWidth="1"/>
    <col min="12816" max="12816" width="6.7109375" customWidth="1"/>
    <col min="12817" max="12818" width="4" customWidth="1"/>
    <col min="12819" max="12819" width="6.7109375" customWidth="1"/>
    <col min="12820" max="12821" width="4" customWidth="1"/>
    <col min="12822" max="12822" width="6.7109375" customWidth="1"/>
    <col min="12823" max="12823" width="4" customWidth="1"/>
    <col min="12824" max="12824" width="6.7109375" customWidth="1"/>
    <col min="12825" max="12825" width="5" customWidth="1"/>
    <col min="12826" max="12826" width="7.7109375" customWidth="1"/>
    <col min="12827" max="12827" width="10.7109375" bestFit="1" customWidth="1"/>
    <col min="13057" max="13057" width="69.7109375" customWidth="1"/>
    <col min="13058" max="13058" width="24.85546875" customWidth="1"/>
    <col min="13059" max="13069" width="12" customWidth="1"/>
    <col min="13070" max="13070" width="5.5703125" customWidth="1"/>
    <col min="13071" max="13071" width="10.7109375" customWidth="1"/>
    <col min="13072" max="13072" width="6.7109375" customWidth="1"/>
    <col min="13073" max="13074" width="4" customWidth="1"/>
    <col min="13075" max="13075" width="6.7109375" customWidth="1"/>
    <col min="13076" max="13077" width="4" customWidth="1"/>
    <col min="13078" max="13078" width="6.7109375" customWidth="1"/>
    <col min="13079" max="13079" width="4" customWidth="1"/>
    <col min="13080" max="13080" width="6.7109375" customWidth="1"/>
    <col min="13081" max="13081" width="5" customWidth="1"/>
    <col min="13082" max="13082" width="7.7109375" customWidth="1"/>
    <col min="13083" max="13083" width="10.7109375" bestFit="1" customWidth="1"/>
    <col min="13313" max="13313" width="69.7109375" customWidth="1"/>
    <col min="13314" max="13314" width="24.85546875" customWidth="1"/>
    <col min="13315" max="13325" width="12" customWidth="1"/>
    <col min="13326" max="13326" width="5.5703125" customWidth="1"/>
    <col min="13327" max="13327" width="10.7109375" customWidth="1"/>
    <col min="13328" max="13328" width="6.7109375" customWidth="1"/>
    <col min="13329" max="13330" width="4" customWidth="1"/>
    <col min="13331" max="13331" width="6.7109375" customWidth="1"/>
    <col min="13332" max="13333" width="4" customWidth="1"/>
    <col min="13334" max="13334" width="6.7109375" customWidth="1"/>
    <col min="13335" max="13335" width="4" customWidth="1"/>
    <col min="13336" max="13336" width="6.7109375" customWidth="1"/>
    <col min="13337" max="13337" width="5" customWidth="1"/>
    <col min="13338" max="13338" width="7.7109375" customWidth="1"/>
    <col min="13339" max="13339" width="10.7109375" bestFit="1" customWidth="1"/>
    <col min="13569" max="13569" width="69.7109375" customWidth="1"/>
    <col min="13570" max="13570" width="24.85546875" customWidth="1"/>
    <col min="13571" max="13581" width="12" customWidth="1"/>
    <col min="13582" max="13582" width="5.5703125" customWidth="1"/>
    <col min="13583" max="13583" width="10.7109375" customWidth="1"/>
    <col min="13584" max="13584" width="6.7109375" customWidth="1"/>
    <col min="13585" max="13586" width="4" customWidth="1"/>
    <col min="13587" max="13587" width="6.7109375" customWidth="1"/>
    <col min="13588" max="13589" width="4" customWidth="1"/>
    <col min="13590" max="13590" width="6.7109375" customWidth="1"/>
    <col min="13591" max="13591" width="4" customWidth="1"/>
    <col min="13592" max="13592" width="6.7109375" customWidth="1"/>
    <col min="13593" max="13593" width="5" customWidth="1"/>
    <col min="13594" max="13594" width="7.7109375" customWidth="1"/>
    <col min="13595" max="13595" width="10.7109375" bestFit="1" customWidth="1"/>
    <col min="13825" max="13825" width="69.7109375" customWidth="1"/>
    <col min="13826" max="13826" width="24.85546875" customWidth="1"/>
    <col min="13827" max="13837" width="12" customWidth="1"/>
    <col min="13838" max="13838" width="5.5703125" customWidth="1"/>
    <col min="13839" max="13839" width="10.7109375" customWidth="1"/>
    <col min="13840" max="13840" width="6.7109375" customWidth="1"/>
    <col min="13841" max="13842" width="4" customWidth="1"/>
    <col min="13843" max="13843" width="6.7109375" customWidth="1"/>
    <col min="13844" max="13845" width="4" customWidth="1"/>
    <col min="13846" max="13846" width="6.7109375" customWidth="1"/>
    <col min="13847" max="13847" width="4" customWidth="1"/>
    <col min="13848" max="13848" width="6.7109375" customWidth="1"/>
    <col min="13849" max="13849" width="5" customWidth="1"/>
    <col min="13850" max="13850" width="7.7109375" customWidth="1"/>
    <col min="13851" max="13851" width="10.7109375" bestFit="1" customWidth="1"/>
    <col min="14081" max="14081" width="69.7109375" customWidth="1"/>
    <col min="14082" max="14082" width="24.85546875" customWidth="1"/>
    <col min="14083" max="14093" width="12" customWidth="1"/>
    <col min="14094" max="14094" width="5.5703125" customWidth="1"/>
    <col min="14095" max="14095" width="10.7109375" customWidth="1"/>
    <col min="14096" max="14096" width="6.7109375" customWidth="1"/>
    <col min="14097" max="14098" width="4" customWidth="1"/>
    <col min="14099" max="14099" width="6.7109375" customWidth="1"/>
    <col min="14100" max="14101" width="4" customWidth="1"/>
    <col min="14102" max="14102" width="6.7109375" customWidth="1"/>
    <col min="14103" max="14103" width="4" customWidth="1"/>
    <col min="14104" max="14104" width="6.7109375" customWidth="1"/>
    <col min="14105" max="14105" width="5" customWidth="1"/>
    <col min="14106" max="14106" width="7.7109375" customWidth="1"/>
    <col min="14107" max="14107" width="10.7109375" bestFit="1" customWidth="1"/>
    <col min="14337" max="14337" width="69.7109375" customWidth="1"/>
    <col min="14338" max="14338" width="24.85546875" customWidth="1"/>
    <col min="14339" max="14349" width="12" customWidth="1"/>
    <col min="14350" max="14350" width="5.5703125" customWidth="1"/>
    <col min="14351" max="14351" width="10.7109375" customWidth="1"/>
    <col min="14352" max="14352" width="6.7109375" customWidth="1"/>
    <col min="14353" max="14354" width="4" customWidth="1"/>
    <col min="14355" max="14355" width="6.7109375" customWidth="1"/>
    <col min="14356" max="14357" width="4" customWidth="1"/>
    <col min="14358" max="14358" width="6.7109375" customWidth="1"/>
    <col min="14359" max="14359" width="4" customWidth="1"/>
    <col min="14360" max="14360" width="6.7109375" customWidth="1"/>
    <col min="14361" max="14361" width="5" customWidth="1"/>
    <col min="14362" max="14362" width="7.7109375" customWidth="1"/>
    <col min="14363" max="14363" width="10.7109375" bestFit="1" customWidth="1"/>
    <col min="14593" max="14593" width="69.7109375" customWidth="1"/>
    <col min="14594" max="14594" width="24.85546875" customWidth="1"/>
    <col min="14595" max="14605" width="12" customWidth="1"/>
    <col min="14606" max="14606" width="5.5703125" customWidth="1"/>
    <col min="14607" max="14607" width="10.7109375" customWidth="1"/>
    <col min="14608" max="14608" width="6.7109375" customWidth="1"/>
    <col min="14609" max="14610" width="4" customWidth="1"/>
    <col min="14611" max="14611" width="6.7109375" customWidth="1"/>
    <col min="14612" max="14613" width="4" customWidth="1"/>
    <col min="14614" max="14614" width="6.7109375" customWidth="1"/>
    <col min="14615" max="14615" width="4" customWidth="1"/>
    <col min="14616" max="14616" width="6.7109375" customWidth="1"/>
    <col min="14617" max="14617" width="5" customWidth="1"/>
    <col min="14618" max="14618" width="7.7109375" customWidth="1"/>
    <col min="14619" max="14619" width="10.7109375" bestFit="1" customWidth="1"/>
    <col min="14849" max="14849" width="69.7109375" customWidth="1"/>
    <col min="14850" max="14850" width="24.85546875" customWidth="1"/>
    <col min="14851" max="14861" width="12" customWidth="1"/>
    <col min="14862" max="14862" width="5.5703125" customWidth="1"/>
    <col min="14863" max="14863" width="10.7109375" customWidth="1"/>
    <col min="14864" max="14864" width="6.7109375" customWidth="1"/>
    <col min="14865" max="14866" width="4" customWidth="1"/>
    <col min="14867" max="14867" width="6.7109375" customWidth="1"/>
    <col min="14868" max="14869" width="4" customWidth="1"/>
    <col min="14870" max="14870" width="6.7109375" customWidth="1"/>
    <col min="14871" max="14871" width="4" customWidth="1"/>
    <col min="14872" max="14872" width="6.7109375" customWidth="1"/>
    <col min="14873" max="14873" width="5" customWidth="1"/>
    <col min="14874" max="14874" width="7.7109375" customWidth="1"/>
    <col min="14875" max="14875" width="10.7109375" bestFit="1" customWidth="1"/>
    <col min="15105" max="15105" width="69.7109375" customWidth="1"/>
    <col min="15106" max="15106" width="24.85546875" customWidth="1"/>
    <col min="15107" max="15117" width="12" customWidth="1"/>
    <col min="15118" max="15118" width="5.5703125" customWidth="1"/>
    <col min="15119" max="15119" width="10.7109375" customWidth="1"/>
    <col min="15120" max="15120" width="6.7109375" customWidth="1"/>
    <col min="15121" max="15122" width="4" customWidth="1"/>
    <col min="15123" max="15123" width="6.7109375" customWidth="1"/>
    <col min="15124" max="15125" width="4" customWidth="1"/>
    <col min="15126" max="15126" width="6.7109375" customWidth="1"/>
    <col min="15127" max="15127" width="4" customWidth="1"/>
    <col min="15128" max="15128" width="6.7109375" customWidth="1"/>
    <col min="15129" max="15129" width="5" customWidth="1"/>
    <col min="15130" max="15130" width="7.7109375" customWidth="1"/>
    <col min="15131" max="15131" width="10.7109375" bestFit="1" customWidth="1"/>
    <col min="15361" max="15361" width="69.7109375" customWidth="1"/>
    <col min="15362" max="15362" width="24.85546875" customWidth="1"/>
    <col min="15363" max="15373" width="12" customWidth="1"/>
    <col min="15374" max="15374" width="5.5703125" customWidth="1"/>
    <col min="15375" max="15375" width="10.7109375" customWidth="1"/>
    <col min="15376" max="15376" width="6.7109375" customWidth="1"/>
    <col min="15377" max="15378" width="4" customWidth="1"/>
    <col min="15379" max="15379" width="6.7109375" customWidth="1"/>
    <col min="15380" max="15381" width="4" customWidth="1"/>
    <col min="15382" max="15382" width="6.7109375" customWidth="1"/>
    <col min="15383" max="15383" width="4" customWidth="1"/>
    <col min="15384" max="15384" width="6.7109375" customWidth="1"/>
    <col min="15385" max="15385" width="5" customWidth="1"/>
    <col min="15386" max="15386" width="7.7109375" customWidth="1"/>
    <col min="15387" max="15387" width="10.7109375" bestFit="1" customWidth="1"/>
    <col min="15617" max="15617" width="69.7109375" customWidth="1"/>
    <col min="15618" max="15618" width="24.85546875" customWidth="1"/>
    <col min="15619" max="15629" width="12" customWidth="1"/>
    <col min="15630" max="15630" width="5.5703125" customWidth="1"/>
    <col min="15631" max="15631" width="10.7109375" customWidth="1"/>
    <col min="15632" max="15632" width="6.7109375" customWidth="1"/>
    <col min="15633" max="15634" width="4" customWidth="1"/>
    <col min="15635" max="15635" width="6.7109375" customWidth="1"/>
    <col min="15636" max="15637" width="4" customWidth="1"/>
    <col min="15638" max="15638" width="6.7109375" customWidth="1"/>
    <col min="15639" max="15639" width="4" customWidth="1"/>
    <col min="15640" max="15640" width="6.7109375" customWidth="1"/>
    <col min="15641" max="15641" width="5" customWidth="1"/>
    <col min="15642" max="15642" width="7.7109375" customWidth="1"/>
    <col min="15643" max="15643" width="10.7109375" bestFit="1" customWidth="1"/>
    <col min="15873" max="15873" width="69.7109375" customWidth="1"/>
    <col min="15874" max="15874" width="24.85546875" customWidth="1"/>
    <col min="15875" max="15885" width="12" customWidth="1"/>
    <col min="15886" max="15886" width="5.5703125" customWidth="1"/>
    <col min="15887" max="15887" width="10.7109375" customWidth="1"/>
    <col min="15888" max="15888" width="6.7109375" customWidth="1"/>
    <col min="15889" max="15890" width="4" customWidth="1"/>
    <col min="15891" max="15891" width="6.7109375" customWidth="1"/>
    <col min="15892" max="15893" width="4" customWidth="1"/>
    <col min="15894" max="15894" width="6.7109375" customWidth="1"/>
    <col min="15895" max="15895" width="4" customWidth="1"/>
    <col min="15896" max="15896" width="6.7109375" customWidth="1"/>
    <col min="15897" max="15897" width="5" customWidth="1"/>
    <col min="15898" max="15898" width="7.7109375" customWidth="1"/>
    <col min="15899" max="15899" width="10.7109375" bestFit="1" customWidth="1"/>
    <col min="16129" max="16129" width="69.7109375" customWidth="1"/>
    <col min="16130" max="16130" width="24.85546875" customWidth="1"/>
    <col min="16131" max="16141" width="12" customWidth="1"/>
    <col min="16142" max="16142" width="5.5703125" customWidth="1"/>
    <col min="16143" max="16143" width="10.7109375" customWidth="1"/>
    <col min="16144" max="16144" width="6.7109375" customWidth="1"/>
    <col min="16145" max="16146" width="4" customWidth="1"/>
    <col min="16147" max="16147" width="6.7109375" customWidth="1"/>
    <col min="16148" max="16149" width="4" customWidth="1"/>
    <col min="16150" max="16150" width="6.7109375" customWidth="1"/>
    <col min="16151" max="16151" width="4" customWidth="1"/>
    <col min="16152" max="16152" width="6.7109375" customWidth="1"/>
    <col min="16153" max="16153" width="5" customWidth="1"/>
    <col min="16154" max="16154" width="7.7109375" customWidth="1"/>
    <col min="16155" max="16155" width="10.7109375" bestFit="1" customWidth="1"/>
  </cols>
  <sheetData>
    <row r="1" spans="1:4" ht="17.25" x14ac:dyDescent="0.3">
      <c r="A1" s="168" t="s">
        <v>446</v>
      </c>
      <c r="B1" s="169"/>
      <c r="C1" s="38"/>
      <c r="D1" s="38"/>
    </row>
    <row r="2" spans="1:4" x14ac:dyDescent="0.3">
      <c r="A2" s="171" t="s">
        <v>613</v>
      </c>
      <c r="B2" s="170"/>
    </row>
    <row r="3" spans="1:4" x14ac:dyDescent="0.3">
      <c r="A3" s="171"/>
      <c r="B3" s="170"/>
    </row>
    <row r="4" spans="1:4" x14ac:dyDescent="0.3">
      <c r="A4" s="173" t="s">
        <v>468</v>
      </c>
      <c r="B4" s="170">
        <v>68100</v>
      </c>
    </row>
    <row r="5" spans="1:4" x14ac:dyDescent="0.3">
      <c r="A5" s="173" t="s">
        <v>469</v>
      </c>
      <c r="B5" s="170">
        <v>10153</v>
      </c>
    </row>
    <row r="6" spans="1:4" x14ac:dyDescent="0.3">
      <c r="A6" s="335"/>
      <c r="B6" s="170"/>
    </row>
    <row r="7" spans="1:4" x14ac:dyDescent="0.3">
      <c r="A7" s="171"/>
      <c r="B7" s="170"/>
    </row>
    <row r="8" spans="1:4" x14ac:dyDescent="0.3">
      <c r="A8" s="170"/>
      <c r="B8" s="172" t="s">
        <v>447</v>
      </c>
    </row>
    <row r="9" spans="1:4" x14ac:dyDescent="0.3">
      <c r="A9" s="437" t="s">
        <v>442</v>
      </c>
      <c r="B9" s="438" t="s">
        <v>520</v>
      </c>
    </row>
    <row r="10" spans="1:4" x14ac:dyDescent="0.3">
      <c r="B10" s="158" t="str">
        <f>VLOOKUP($B$9,'2015 ASL'!C5:E124,3,FALSE)</f>
        <v>B0564</v>
      </c>
    </row>
    <row r="11" spans="1:4" x14ac:dyDescent="0.3">
      <c r="A11" s="434" t="s">
        <v>444</v>
      </c>
      <c r="B11" s="435" t="s">
        <v>340</v>
      </c>
    </row>
    <row r="12" spans="1:4" ht="16.5" x14ac:dyDescent="0.3">
      <c r="A12" s="446" t="s">
        <v>448</v>
      </c>
      <c r="B12" s="448">
        <v>0</v>
      </c>
    </row>
    <row r="13" spans="1:4" ht="16.5" x14ac:dyDescent="0.3">
      <c r="A13" s="447" t="s">
        <v>449</v>
      </c>
      <c r="B13" s="449">
        <v>0</v>
      </c>
    </row>
    <row r="14" spans="1:4" ht="16.5" x14ac:dyDescent="0.3">
      <c r="A14" s="447" t="s">
        <v>450</v>
      </c>
      <c r="B14" s="449">
        <v>0</v>
      </c>
    </row>
    <row r="15" spans="1:4" ht="16.5" x14ac:dyDescent="0.3">
      <c r="A15" s="447" t="s">
        <v>451</v>
      </c>
      <c r="B15" s="449">
        <v>0</v>
      </c>
    </row>
    <row r="16" spans="1:4" ht="16.5" x14ac:dyDescent="0.3">
      <c r="A16" s="447" t="s">
        <v>452</v>
      </c>
      <c r="B16" s="449">
        <v>0</v>
      </c>
    </row>
    <row r="17" spans="1:21" x14ac:dyDescent="0.3">
      <c r="A17" s="440" t="s">
        <v>453</v>
      </c>
      <c r="B17" s="445">
        <v>0</v>
      </c>
    </row>
    <row r="18" spans="1:21" x14ac:dyDescent="0.3">
      <c r="A18" s="440" t="s">
        <v>470</v>
      </c>
      <c r="B18" s="445">
        <v>1</v>
      </c>
    </row>
    <row r="19" spans="1:21" x14ac:dyDescent="0.3">
      <c r="A19" s="436" t="s">
        <v>471</v>
      </c>
      <c r="B19" s="439">
        <v>0</v>
      </c>
    </row>
    <row r="20" spans="1:21" x14ac:dyDescent="0.3">
      <c r="A20" s="436" t="s">
        <v>472</v>
      </c>
      <c r="B20" s="439">
        <v>18615.313023362691</v>
      </c>
    </row>
    <row r="21" spans="1:21" x14ac:dyDescent="0.3">
      <c r="A21" s="436" t="s">
        <v>454</v>
      </c>
      <c r="B21" s="439">
        <v>0</v>
      </c>
    </row>
    <row r="22" spans="1:21" x14ac:dyDescent="0.3">
      <c r="A22" s="436" t="s">
        <v>445</v>
      </c>
      <c r="B22" s="439"/>
    </row>
    <row r="23" spans="1:21" x14ac:dyDescent="0.3">
      <c r="A23" s="441" t="s">
        <v>467</v>
      </c>
      <c r="B23" s="443">
        <v>18615.313023362691</v>
      </c>
    </row>
    <row r="24" spans="1:21" x14ac:dyDescent="0.3">
      <c r="A24" s="436" t="s">
        <v>455</v>
      </c>
      <c r="B24" s="439">
        <v>0</v>
      </c>
    </row>
    <row r="25" spans="1:21" x14ac:dyDescent="0.3">
      <c r="A25" s="436" t="s">
        <v>456</v>
      </c>
      <c r="B25" s="439">
        <v>0</v>
      </c>
    </row>
    <row r="26" spans="1:21" x14ac:dyDescent="0.3">
      <c r="A26" s="436" t="s">
        <v>457</v>
      </c>
      <c r="B26" s="439"/>
    </row>
    <row r="27" spans="1:21" x14ac:dyDescent="0.3">
      <c r="A27" s="436" t="s">
        <v>458</v>
      </c>
      <c r="B27" s="439"/>
    </row>
    <row r="28" spans="1:21" x14ac:dyDescent="0.3">
      <c r="A28" s="436" t="s">
        <v>459</v>
      </c>
      <c r="B28" s="439">
        <v>0</v>
      </c>
    </row>
    <row r="29" spans="1:21" x14ac:dyDescent="0.3">
      <c r="A29" s="436" t="s">
        <v>460</v>
      </c>
      <c r="B29" s="439">
        <v>0</v>
      </c>
    </row>
    <row r="30" spans="1:21" x14ac:dyDescent="0.3">
      <c r="A30" s="436" t="s">
        <v>461</v>
      </c>
      <c r="B30" s="439">
        <v>0</v>
      </c>
    </row>
    <row r="31" spans="1:21" x14ac:dyDescent="0.3">
      <c r="A31" s="436" t="s">
        <v>462</v>
      </c>
      <c r="B31" s="439">
        <v>0</v>
      </c>
    </row>
    <row r="32" spans="1:21" x14ac:dyDescent="0.3">
      <c r="A32" s="436" t="s">
        <v>463</v>
      </c>
      <c r="B32" s="439">
        <v>0</v>
      </c>
      <c r="U32" s="21"/>
    </row>
    <row r="33" spans="1:21" x14ac:dyDescent="0.3">
      <c r="A33" s="436" t="s">
        <v>464</v>
      </c>
      <c r="B33" s="439">
        <v>0</v>
      </c>
      <c r="U33" s="21"/>
    </row>
    <row r="34" spans="1:21" x14ac:dyDescent="0.3">
      <c r="A34" s="436" t="s">
        <v>465</v>
      </c>
      <c r="B34" s="439">
        <v>0</v>
      </c>
    </row>
    <row r="35" spans="1:21" x14ac:dyDescent="0.3">
      <c r="A35" s="441" t="s">
        <v>466</v>
      </c>
      <c r="B35" s="443">
        <v>0</v>
      </c>
    </row>
    <row r="36" spans="1:21" x14ac:dyDescent="0.3">
      <c r="A36" s="442" t="s">
        <v>323</v>
      </c>
      <c r="B36" s="444">
        <v>18615.313023362691</v>
      </c>
    </row>
    <row r="37" spans="1:21" x14ac:dyDescent="0.3">
      <c r="B37"/>
    </row>
    <row r="38" spans="1:21" x14ac:dyDescent="0.3">
      <c r="A38" s="110" t="s">
        <v>473</v>
      </c>
      <c r="B38" s="21"/>
    </row>
    <row r="39" spans="1:21" x14ac:dyDescent="0.3">
      <c r="A39" s="175" t="s">
        <v>0</v>
      </c>
      <c r="B39" s="176">
        <f>GETPIVOTDATA("  6X300 International Posts
(FCSO)*",$A$11)</f>
        <v>0</v>
      </c>
    </row>
    <row r="40" spans="1:21" x14ac:dyDescent="0.3">
      <c r="A40">
        <v>61300</v>
      </c>
      <c r="B40" s="174">
        <f>B39*65%</f>
        <v>0</v>
      </c>
    </row>
    <row r="41" spans="1:21" x14ac:dyDescent="0.3">
      <c r="A41">
        <v>62300</v>
      </c>
      <c r="B41" s="174">
        <f>B39*25%</f>
        <v>0</v>
      </c>
      <c r="D41" s="174"/>
      <c r="E41" s="188"/>
      <c r="F41" s="188"/>
    </row>
    <row r="42" spans="1:21" x14ac:dyDescent="0.3">
      <c r="A42">
        <v>63300</v>
      </c>
      <c r="B42" s="174">
        <f>B39*10%</f>
        <v>0</v>
      </c>
      <c r="D42" s="174"/>
      <c r="E42" s="188"/>
      <c r="F42" s="188"/>
    </row>
    <row r="43" spans="1:21" x14ac:dyDescent="0.3">
      <c r="A43" s="175" t="s">
        <v>425</v>
      </c>
      <c r="B43" s="177">
        <f>GETPIVOTDATA("  6X200 General Service Posts
(LL)*",$A$11)</f>
        <v>18615.313023362691</v>
      </c>
      <c r="D43" s="174"/>
      <c r="E43" s="188"/>
      <c r="F43" s="188"/>
    </row>
    <row r="44" spans="1:21" x14ac:dyDescent="0.3">
      <c r="A44">
        <v>61200</v>
      </c>
      <c r="B44" s="174">
        <f>B43*65%</f>
        <v>12099.95346518575</v>
      </c>
    </row>
    <row r="45" spans="1:21" x14ac:dyDescent="0.3">
      <c r="A45">
        <v>62200</v>
      </c>
      <c r="B45" s="174">
        <f>B43*25%</f>
        <v>4653.8282558406727</v>
      </c>
    </row>
    <row r="46" spans="1:21" x14ac:dyDescent="0.3">
      <c r="A46">
        <v>63200</v>
      </c>
      <c r="B46" s="174">
        <f>B43*10%</f>
        <v>1861.5313023362692</v>
      </c>
    </row>
    <row r="47" spans="1:21" x14ac:dyDescent="0.3">
      <c r="B47" s="174"/>
    </row>
    <row r="48" spans="1:21" x14ac:dyDescent="0.3">
      <c r="A48" s="110" t="s">
        <v>511</v>
      </c>
      <c r="B48" s="21"/>
    </row>
    <row r="49" spans="2:2" x14ac:dyDescent="0.3">
      <c r="B49"/>
    </row>
    <row r="50" spans="2:2" x14ac:dyDescent="0.3">
      <c r="B50"/>
    </row>
    <row r="51" spans="2:2" x14ac:dyDescent="0.3">
      <c r="B51"/>
    </row>
    <row r="52" spans="2:2" x14ac:dyDescent="0.3">
      <c r="B52"/>
    </row>
    <row r="53" spans="2:2" x14ac:dyDescent="0.3">
      <c r="B53"/>
    </row>
    <row r="54" spans="2:2" x14ac:dyDescent="0.3">
      <c r="B54"/>
    </row>
    <row r="55" spans="2:2" x14ac:dyDescent="0.3">
      <c r="B55"/>
    </row>
    <row r="56" spans="2:2" x14ac:dyDescent="0.3">
      <c r="B56"/>
    </row>
    <row r="57" spans="2:2" x14ac:dyDescent="0.3">
      <c r="B57"/>
    </row>
    <row r="58" spans="2:2" x14ac:dyDescent="0.3">
      <c r="B58"/>
    </row>
    <row r="59" spans="2:2" x14ac:dyDescent="0.3">
      <c r="B59"/>
    </row>
    <row r="60" spans="2:2" x14ac:dyDescent="0.3">
      <c r="B60"/>
    </row>
    <row r="61" spans="2:2" x14ac:dyDescent="0.3">
      <c r="B61"/>
    </row>
    <row r="62" spans="2:2" x14ac:dyDescent="0.3">
      <c r="B62"/>
    </row>
    <row r="63" spans="2:2" x14ac:dyDescent="0.3">
      <c r="B63"/>
    </row>
    <row r="64" spans="2:2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  <row r="72" spans="2:2" x14ac:dyDescent="0.3">
      <c r="B72"/>
    </row>
    <row r="73" spans="2:2" x14ac:dyDescent="0.3">
      <c r="B73"/>
    </row>
    <row r="74" spans="2:2" x14ac:dyDescent="0.3">
      <c r="B74"/>
    </row>
    <row r="75" spans="2:2" x14ac:dyDescent="0.3">
      <c r="B75"/>
    </row>
    <row r="76" spans="2:2" x14ac:dyDescent="0.3">
      <c r="B76"/>
    </row>
    <row r="77" spans="2:2" x14ac:dyDescent="0.3">
      <c r="B77"/>
    </row>
    <row r="78" spans="2:2" x14ac:dyDescent="0.3">
      <c r="B78"/>
    </row>
    <row r="79" spans="2:2" x14ac:dyDescent="0.3">
      <c r="B79"/>
    </row>
    <row r="80" spans="2:2" x14ac:dyDescent="0.3">
      <c r="B80"/>
    </row>
    <row r="81" spans="2:2" x14ac:dyDescent="0.3">
      <c r="B81"/>
    </row>
    <row r="82" spans="2:2" x14ac:dyDescent="0.3">
      <c r="B82"/>
    </row>
    <row r="83" spans="2:2" x14ac:dyDescent="0.3">
      <c r="B83"/>
    </row>
    <row r="84" spans="2:2" x14ac:dyDescent="0.3">
      <c r="B84"/>
    </row>
    <row r="85" spans="2:2" x14ac:dyDescent="0.3">
      <c r="B85"/>
    </row>
    <row r="86" spans="2:2" x14ac:dyDescent="0.3">
      <c r="B86"/>
    </row>
    <row r="87" spans="2:2" x14ac:dyDescent="0.3">
      <c r="B87"/>
    </row>
    <row r="88" spans="2:2" x14ac:dyDescent="0.3">
      <c r="B88"/>
    </row>
    <row r="89" spans="2:2" x14ac:dyDescent="0.3">
      <c r="B89"/>
    </row>
    <row r="90" spans="2:2" x14ac:dyDescent="0.3">
      <c r="B90"/>
    </row>
    <row r="91" spans="2:2" x14ac:dyDescent="0.3">
      <c r="B91"/>
    </row>
    <row r="92" spans="2:2" x14ac:dyDescent="0.3">
      <c r="B92"/>
    </row>
    <row r="93" spans="2:2" x14ac:dyDescent="0.3">
      <c r="B93"/>
    </row>
    <row r="94" spans="2:2" x14ac:dyDescent="0.3">
      <c r="B94"/>
    </row>
    <row r="95" spans="2:2" x14ac:dyDescent="0.3">
      <c r="B95"/>
    </row>
    <row r="96" spans="2:2" x14ac:dyDescent="0.3">
      <c r="B96"/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  <row r="2023" spans="2:2" x14ac:dyDescent="0.3">
      <c r="B2023"/>
    </row>
    <row r="2024" spans="2:2" x14ac:dyDescent="0.3">
      <c r="B2024"/>
    </row>
    <row r="2025" spans="2:2" x14ac:dyDescent="0.3">
      <c r="B2025"/>
    </row>
    <row r="2026" spans="2:2" x14ac:dyDescent="0.3">
      <c r="B2026"/>
    </row>
    <row r="2027" spans="2:2" x14ac:dyDescent="0.3">
      <c r="B2027"/>
    </row>
    <row r="2028" spans="2:2" x14ac:dyDescent="0.3">
      <c r="B2028"/>
    </row>
    <row r="2029" spans="2:2" x14ac:dyDescent="0.3">
      <c r="B2029"/>
    </row>
    <row r="2030" spans="2:2" x14ac:dyDescent="0.3">
      <c r="B2030"/>
    </row>
    <row r="2031" spans="2:2" x14ac:dyDescent="0.3">
      <c r="B2031"/>
    </row>
    <row r="2032" spans="2:2" x14ac:dyDescent="0.3">
      <c r="B2032"/>
    </row>
    <row r="2033" spans="2:2" x14ac:dyDescent="0.3">
      <c r="B2033"/>
    </row>
    <row r="2034" spans="2:2" x14ac:dyDescent="0.3">
      <c r="B2034"/>
    </row>
    <row r="2035" spans="2:2" x14ac:dyDescent="0.3">
      <c r="B2035"/>
    </row>
    <row r="2036" spans="2:2" x14ac:dyDescent="0.3">
      <c r="B2036"/>
    </row>
    <row r="2037" spans="2:2" x14ac:dyDescent="0.3">
      <c r="B2037"/>
    </row>
    <row r="2038" spans="2:2" x14ac:dyDescent="0.3">
      <c r="B2038"/>
    </row>
    <row r="2039" spans="2:2" x14ac:dyDescent="0.3">
      <c r="B2039"/>
    </row>
    <row r="2040" spans="2:2" x14ac:dyDescent="0.3">
      <c r="B2040"/>
    </row>
    <row r="2041" spans="2:2" x14ac:dyDescent="0.3">
      <c r="B2041"/>
    </row>
    <row r="2042" spans="2:2" x14ac:dyDescent="0.3">
      <c r="B2042"/>
    </row>
    <row r="2043" spans="2:2" x14ac:dyDescent="0.3">
      <c r="B2043"/>
    </row>
    <row r="2044" spans="2:2" x14ac:dyDescent="0.3">
      <c r="B2044"/>
    </row>
    <row r="2045" spans="2:2" x14ac:dyDescent="0.3">
      <c r="B2045"/>
    </row>
    <row r="2046" spans="2:2" x14ac:dyDescent="0.3">
      <c r="B2046"/>
    </row>
    <row r="2047" spans="2:2" x14ac:dyDescent="0.3">
      <c r="B2047"/>
    </row>
    <row r="2048" spans="2:2" x14ac:dyDescent="0.3">
      <c r="B2048"/>
    </row>
    <row r="2049" spans="2:2" x14ac:dyDescent="0.3">
      <c r="B2049"/>
    </row>
    <row r="2050" spans="2:2" x14ac:dyDescent="0.3">
      <c r="B2050"/>
    </row>
    <row r="2051" spans="2:2" x14ac:dyDescent="0.3">
      <c r="B2051"/>
    </row>
    <row r="2052" spans="2:2" x14ac:dyDescent="0.3">
      <c r="B2052"/>
    </row>
    <row r="2053" spans="2:2" x14ac:dyDescent="0.3">
      <c r="B2053"/>
    </row>
    <row r="2054" spans="2:2" x14ac:dyDescent="0.3">
      <c r="B2054"/>
    </row>
    <row r="2055" spans="2:2" x14ac:dyDescent="0.3">
      <c r="B2055"/>
    </row>
    <row r="2056" spans="2:2" x14ac:dyDescent="0.3">
      <c r="B2056"/>
    </row>
    <row r="2057" spans="2:2" x14ac:dyDescent="0.3">
      <c r="B2057"/>
    </row>
    <row r="2058" spans="2:2" x14ac:dyDescent="0.3">
      <c r="B2058"/>
    </row>
    <row r="2059" spans="2:2" x14ac:dyDescent="0.3">
      <c r="B2059"/>
    </row>
    <row r="2060" spans="2:2" x14ac:dyDescent="0.3">
      <c r="B2060"/>
    </row>
    <row r="2061" spans="2:2" x14ac:dyDescent="0.3">
      <c r="B2061"/>
    </row>
    <row r="2062" spans="2:2" x14ac:dyDescent="0.3">
      <c r="B2062"/>
    </row>
    <row r="2063" spans="2:2" x14ac:dyDescent="0.3">
      <c r="B2063"/>
    </row>
    <row r="2064" spans="2:2" x14ac:dyDescent="0.3">
      <c r="B2064"/>
    </row>
    <row r="2065" spans="2:2" x14ac:dyDescent="0.3">
      <c r="B2065"/>
    </row>
    <row r="2066" spans="2:2" x14ac:dyDescent="0.3">
      <c r="B2066"/>
    </row>
    <row r="2067" spans="2:2" x14ac:dyDescent="0.3">
      <c r="B2067"/>
    </row>
    <row r="2068" spans="2:2" x14ac:dyDescent="0.3">
      <c r="B2068"/>
    </row>
    <row r="2069" spans="2:2" x14ac:dyDescent="0.3">
      <c r="B2069"/>
    </row>
    <row r="2070" spans="2:2" x14ac:dyDescent="0.3">
      <c r="B2070"/>
    </row>
    <row r="2071" spans="2:2" x14ac:dyDescent="0.3">
      <c r="B2071"/>
    </row>
    <row r="2072" spans="2:2" x14ac:dyDescent="0.3">
      <c r="B2072"/>
    </row>
    <row r="2073" spans="2:2" x14ac:dyDescent="0.3">
      <c r="B2073"/>
    </row>
    <row r="2074" spans="2:2" x14ac:dyDescent="0.3">
      <c r="B2074"/>
    </row>
    <row r="2075" spans="2:2" x14ac:dyDescent="0.3">
      <c r="B2075"/>
    </row>
    <row r="2076" spans="2:2" x14ac:dyDescent="0.3">
      <c r="B2076"/>
    </row>
    <row r="2077" spans="2:2" x14ac:dyDescent="0.3">
      <c r="B2077"/>
    </row>
    <row r="2078" spans="2:2" x14ac:dyDescent="0.3">
      <c r="B2078"/>
    </row>
    <row r="2079" spans="2:2" x14ac:dyDescent="0.3">
      <c r="B2079"/>
    </row>
    <row r="2080" spans="2:2" x14ac:dyDescent="0.3">
      <c r="B2080"/>
    </row>
    <row r="2081" spans="2:2" x14ac:dyDescent="0.3">
      <c r="B2081"/>
    </row>
    <row r="2082" spans="2:2" x14ac:dyDescent="0.3">
      <c r="B2082"/>
    </row>
    <row r="2083" spans="2:2" x14ac:dyDescent="0.3">
      <c r="B2083"/>
    </row>
    <row r="2084" spans="2:2" x14ac:dyDescent="0.3">
      <c r="B2084"/>
    </row>
    <row r="2085" spans="2:2" x14ac:dyDescent="0.3">
      <c r="B2085"/>
    </row>
    <row r="2086" spans="2:2" x14ac:dyDescent="0.3">
      <c r="B2086"/>
    </row>
    <row r="2087" spans="2:2" x14ac:dyDescent="0.3">
      <c r="B2087"/>
    </row>
    <row r="2088" spans="2:2" x14ac:dyDescent="0.3">
      <c r="B2088"/>
    </row>
    <row r="2089" spans="2:2" x14ac:dyDescent="0.3">
      <c r="B2089"/>
    </row>
    <row r="2090" spans="2:2" x14ac:dyDescent="0.3">
      <c r="B2090"/>
    </row>
    <row r="2091" spans="2:2" x14ac:dyDescent="0.3">
      <c r="B2091"/>
    </row>
    <row r="2092" spans="2:2" x14ac:dyDescent="0.3">
      <c r="B2092"/>
    </row>
    <row r="2093" spans="2:2" x14ac:dyDescent="0.3">
      <c r="B2093"/>
    </row>
    <row r="2094" spans="2:2" x14ac:dyDescent="0.3">
      <c r="B2094"/>
    </row>
    <row r="2095" spans="2:2" x14ac:dyDescent="0.3">
      <c r="B2095"/>
    </row>
    <row r="2096" spans="2:2" x14ac:dyDescent="0.3">
      <c r="B2096"/>
    </row>
    <row r="2097" spans="2:2" x14ac:dyDescent="0.3">
      <c r="B2097"/>
    </row>
    <row r="2098" spans="2:2" x14ac:dyDescent="0.3">
      <c r="B2098"/>
    </row>
    <row r="2099" spans="2:2" x14ac:dyDescent="0.3">
      <c r="B2099"/>
    </row>
    <row r="2100" spans="2:2" x14ac:dyDescent="0.3">
      <c r="B2100"/>
    </row>
    <row r="2101" spans="2:2" x14ac:dyDescent="0.3">
      <c r="B2101"/>
    </row>
    <row r="2102" spans="2:2" x14ac:dyDescent="0.3">
      <c r="B2102"/>
    </row>
    <row r="2103" spans="2:2" x14ac:dyDescent="0.3">
      <c r="B2103"/>
    </row>
    <row r="2104" spans="2:2" x14ac:dyDescent="0.3">
      <c r="B2104"/>
    </row>
    <row r="2105" spans="2:2" x14ac:dyDescent="0.3">
      <c r="B2105"/>
    </row>
    <row r="2106" spans="2:2" x14ac:dyDescent="0.3">
      <c r="B2106"/>
    </row>
    <row r="2107" spans="2:2" x14ac:dyDescent="0.3">
      <c r="B2107"/>
    </row>
    <row r="2108" spans="2:2" x14ac:dyDescent="0.3">
      <c r="B2108"/>
    </row>
    <row r="2109" spans="2:2" x14ac:dyDescent="0.3">
      <c r="B2109"/>
    </row>
    <row r="2110" spans="2:2" x14ac:dyDescent="0.3">
      <c r="B2110"/>
    </row>
    <row r="2111" spans="2:2" x14ac:dyDescent="0.3">
      <c r="B2111"/>
    </row>
    <row r="2112" spans="2:2" x14ac:dyDescent="0.3">
      <c r="B2112"/>
    </row>
    <row r="2113" spans="2:2" x14ac:dyDescent="0.3">
      <c r="B2113"/>
    </row>
    <row r="2114" spans="2:2" x14ac:dyDescent="0.3">
      <c r="B2114"/>
    </row>
    <row r="2115" spans="2:2" x14ac:dyDescent="0.3">
      <c r="B2115"/>
    </row>
    <row r="2116" spans="2:2" x14ac:dyDescent="0.3">
      <c r="B2116"/>
    </row>
    <row r="2117" spans="2:2" x14ac:dyDescent="0.3">
      <c r="B2117"/>
    </row>
    <row r="2118" spans="2:2" x14ac:dyDescent="0.3">
      <c r="B2118"/>
    </row>
    <row r="2119" spans="2:2" x14ac:dyDescent="0.3">
      <c r="B2119"/>
    </row>
    <row r="2120" spans="2:2" x14ac:dyDescent="0.3">
      <c r="B2120"/>
    </row>
    <row r="2121" spans="2:2" x14ac:dyDescent="0.3">
      <c r="B2121"/>
    </row>
    <row r="2122" spans="2:2" x14ac:dyDescent="0.3">
      <c r="B2122"/>
    </row>
    <row r="2123" spans="2:2" x14ac:dyDescent="0.3">
      <c r="B2123"/>
    </row>
    <row r="2124" spans="2:2" x14ac:dyDescent="0.3">
      <c r="B2124"/>
    </row>
    <row r="2125" spans="2:2" x14ac:dyDescent="0.3">
      <c r="B2125"/>
    </row>
    <row r="2126" spans="2:2" x14ac:dyDescent="0.3">
      <c r="B2126"/>
    </row>
    <row r="2127" spans="2:2" x14ac:dyDescent="0.3">
      <c r="B2127"/>
    </row>
    <row r="2128" spans="2:2" x14ac:dyDescent="0.3">
      <c r="B2128"/>
    </row>
    <row r="2129" spans="2:2" x14ac:dyDescent="0.3">
      <c r="B2129"/>
    </row>
    <row r="2130" spans="2:2" x14ac:dyDescent="0.3">
      <c r="B2130"/>
    </row>
    <row r="2131" spans="2:2" x14ac:dyDescent="0.3">
      <c r="B2131"/>
    </row>
    <row r="2132" spans="2:2" x14ac:dyDescent="0.3">
      <c r="B2132"/>
    </row>
    <row r="2133" spans="2:2" x14ac:dyDescent="0.3">
      <c r="B2133"/>
    </row>
    <row r="2134" spans="2:2" x14ac:dyDescent="0.3">
      <c r="B2134"/>
    </row>
    <row r="2135" spans="2:2" x14ac:dyDescent="0.3">
      <c r="B2135"/>
    </row>
    <row r="2136" spans="2:2" x14ac:dyDescent="0.3">
      <c r="B2136"/>
    </row>
    <row r="2137" spans="2:2" x14ac:dyDescent="0.3">
      <c r="B2137"/>
    </row>
    <row r="2138" spans="2:2" x14ac:dyDescent="0.3">
      <c r="B2138"/>
    </row>
    <row r="2139" spans="2:2" x14ac:dyDescent="0.3">
      <c r="B2139"/>
    </row>
    <row r="2140" spans="2:2" x14ac:dyDescent="0.3">
      <c r="B2140"/>
    </row>
    <row r="2141" spans="2:2" x14ac:dyDescent="0.3">
      <c r="B2141"/>
    </row>
    <row r="2142" spans="2:2" x14ac:dyDescent="0.3">
      <c r="B2142"/>
    </row>
    <row r="2143" spans="2:2" x14ac:dyDescent="0.3">
      <c r="B2143"/>
    </row>
    <row r="2144" spans="2:2" x14ac:dyDescent="0.3">
      <c r="B2144"/>
    </row>
    <row r="2145" spans="2:2" x14ac:dyDescent="0.3">
      <c r="B2145"/>
    </row>
    <row r="2146" spans="2:2" x14ac:dyDescent="0.3">
      <c r="B2146"/>
    </row>
    <row r="2147" spans="2:2" x14ac:dyDescent="0.3">
      <c r="B2147"/>
    </row>
    <row r="2148" spans="2:2" x14ac:dyDescent="0.3">
      <c r="B2148"/>
    </row>
    <row r="2149" spans="2:2" x14ac:dyDescent="0.3">
      <c r="B2149"/>
    </row>
    <row r="2150" spans="2:2" x14ac:dyDescent="0.3">
      <c r="B2150"/>
    </row>
    <row r="2151" spans="2:2" x14ac:dyDescent="0.3">
      <c r="B2151"/>
    </row>
    <row r="2152" spans="2:2" x14ac:dyDescent="0.3">
      <c r="B2152"/>
    </row>
    <row r="2153" spans="2:2" x14ac:dyDescent="0.3">
      <c r="B2153"/>
    </row>
    <row r="2154" spans="2:2" x14ac:dyDescent="0.3">
      <c r="B2154"/>
    </row>
    <row r="2155" spans="2:2" x14ac:dyDescent="0.3">
      <c r="B2155"/>
    </row>
    <row r="2156" spans="2:2" x14ac:dyDescent="0.3">
      <c r="B2156"/>
    </row>
    <row r="2157" spans="2:2" x14ac:dyDescent="0.3">
      <c r="B2157"/>
    </row>
    <row r="2158" spans="2:2" x14ac:dyDescent="0.3">
      <c r="B2158"/>
    </row>
    <row r="2159" spans="2:2" x14ac:dyDescent="0.3">
      <c r="B2159"/>
    </row>
    <row r="2160" spans="2:2" x14ac:dyDescent="0.3">
      <c r="B2160"/>
    </row>
    <row r="2161" spans="2:2" x14ac:dyDescent="0.3">
      <c r="B2161"/>
    </row>
    <row r="2162" spans="2:2" x14ac:dyDescent="0.3">
      <c r="B2162"/>
    </row>
    <row r="2163" spans="2:2" x14ac:dyDescent="0.3">
      <c r="B2163"/>
    </row>
    <row r="2164" spans="2:2" x14ac:dyDescent="0.3">
      <c r="B2164"/>
    </row>
    <row r="2165" spans="2:2" x14ac:dyDescent="0.3">
      <c r="B2165"/>
    </row>
    <row r="2166" spans="2:2" x14ac:dyDescent="0.3">
      <c r="B2166"/>
    </row>
    <row r="2167" spans="2:2" x14ac:dyDescent="0.3">
      <c r="B2167"/>
    </row>
    <row r="2168" spans="2:2" x14ac:dyDescent="0.3">
      <c r="B2168"/>
    </row>
    <row r="2169" spans="2:2" x14ac:dyDescent="0.3">
      <c r="B2169"/>
    </row>
    <row r="2170" spans="2:2" x14ac:dyDescent="0.3">
      <c r="B2170"/>
    </row>
    <row r="2171" spans="2:2" x14ac:dyDescent="0.3">
      <c r="B2171"/>
    </row>
    <row r="2172" spans="2:2" x14ac:dyDescent="0.3">
      <c r="B2172"/>
    </row>
    <row r="2173" spans="2:2" x14ac:dyDescent="0.3">
      <c r="B2173"/>
    </row>
    <row r="2174" spans="2:2" x14ac:dyDescent="0.3">
      <c r="B2174"/>
    </row>
    <row r="2175" spans="2:2" x14ac:dyDescent="0.3">
      <c r="B2175"/>
    </row>
    <row r="2176" spans="2:2" x14ac:dyDescent="0.3">
      <c r="B2176"/>
    </row>
    <row r="2177" spans="2:2" x14ac:dyDescent="0.3">
      <c r="B2177"/>
    </row>
    <row r="2178" spans="2:2" x14ac:dyDescent="0.3">
      <c r="B2178"/>
    </row>
    <row r="2179" spans="2:2" x14ac:dyDescent="0.3">
      <c r="B2179"/>
    </row>
    <row r="2180" spans="2:2" x14ac:dyDescent="0.3">
      <c r="B2180"/>
    </row>
    <row r="2181" spans="2:2" x14ac:dyDescent="0.3">
      <c r="B2181"/>
    </row>
    <row r="2182" spans="2:2" x14ac:dyDescent="0.3">
      <c r="B2182"/>
    </row>
    <row r="2183" spans="2:2" x14ac:dyDescent="0.3">
      <c r="B2183"/>
    </row>
    <row r="2184" spans="2:2" x14ac:dyDescent="0.3">
      <c r="B2184"/>
    </row>
    <row r="2185" spans="2:2" x14ac:dyDescent="0.3">
      <c r="B2185"/>
    </row>
    <row r="2186" spans="2:2" x14ac:dyDescent="0.3">
      <c r="B2186"/>
    </row>
    <row r="2187" spans="2:2" x14ac:dyDescent="0.3">
      <c r="B2187"/>
    </row>
    <row r="2188" spans="2:2" x14ac:dyDescent="0.3">
      <c r="B2188"/>
    </row>
    <row r="2189" spans="2:2" x14ac:dyDescent="0.3">
      <c r="B2189"/>
    </row>
    <row r="2190" spans="2:2" x14ac:dyDescent="0.3">
      <c r="B2190"/>
    </row>
    <row r="2191" spans="2:2" x14ac:dyDescent="0.3">
      <c r="B2191"/>
    </row>
    <row r="2192" spans="2:2" x14ac:dyDescent="0.3">
      <c r="B2192"/>
    </row>
    <row r="2193" spans="2:2" x14ac:dyDescent="0.3">
      <c r="B2193"/>
    </row>
    <row r="2194" spans="2:2" x14ac:dyDescent="0.3">
      <c r="B2194"/>
    </row>
    <row r="2195" spans="2:2" x14ac:dyDescent="0.3">
      <c r="B2195"/>
    </row>
    <row r="2196" spans="2:2" x14ac:dyDescent="0.3">
      <c r="B2196"/>
    </row>
    <row r="2197" spans="2:2" x14ac:dyDescent="0.3">
      <c r="B2197"/>
    </row>
    <row r="2198" spans="2:2" x14ac:dyDescent="0.3">
      <c r="B2198"/>
    </row>
    <row r="2199" spans="2:2" x14ac:dyDescent="0.3">
      <c r="B2199"/>
    </row>
    <row r="2200" spans="2:2" x14ac:dyDescent="0.3">
      <c r="B2200"/>
    </row>
    <row r="2201" spans="2:2" x14ac:dyDescent="0.3">
      <c r="B2201"/>
    </row>
    <row r="2202" spans="2:2" x14ac:dyDescent="0.3">
      <c r="B2202"/>
    </row>
    <row r="2203" spans="2:2" x14ac:dyDescent="0.3">
      <c r="B2203"/>
    </row>
    <row r="2204" spans="2:2" x14ac:dyDescent="0.3">
      <c r="B2204"/>
    </row>
    <row r="2205" spans="2:2" x14ac:dyDescent="0.3">
      <c r="B2205"/>
    </row>
    <row r="2206" spans="2:2" x14ac:dyDescent="0.3">
      <c r="B2206"/>
    </row>
    <row r="2207" spans="2:2" x14ac:dyDescent="0.3">
      <c r="B2207"/>
    </row>
    <row r="2208" spans="2:2" x14ac:dyDescent="0.3">
      <c r="B2208"/>
    </row>
    <row r="2209" spans="2:2" x14ac:dyDescent="0.3">
      <c r="B2209"/>
    </row>
    <row r="2210" spans="2:2" x14ac:dyDescent="0.3">
      <c r="B2210"/>
    </row>
    <row r="2211" spans="2:2" x14ac:dyDescent="0.3">
      <c r="B2211"/>
    </row>
    <row r="2212" spans="2:2" x14ac:dyDescent="0.3">
      <c r="B2212"/>
    </row>
    <row r="2213" spans="2:2" x14ac:dyDescent="0.3">
      <c r="B2213"/>
    </row>
    <row r="2214" spans="2:2" x14ac:dyDescent="0.3">
      <c r="B2214"/>
    </row>
    <row r="2215" spans="2:2" x14ac:dyDescent="0.3">
      <c r="B2215"/>
    </row>
    <row r="2216" spans="2:2" x14ac:dyDescent="0.3">
      <c r="B2216"/>
    </row>
    <row r="2217" spans="2:2" x14ac:dyDescent="0.3">
      <c r="B2217"/>
    </row>
    <row r="2218" spans="2:2" x14ac:dyDescent="0.3">
      <c r="B2218"/>
    </row>
    <row r="2219" spans="2:2" x14ac:dyDescent="0.3">
      <c r="B2219"/>
    </row>
    <row r="2220" spans="2:2" x14ac:dyDescent="0.3">
      <c r="B2220"/>
    </row>
    <row r="2221" spans="2:2" x14ac:dyDescent="0.3">
      <c r="B2221"/>
    </row>
    <row r="2222" spans="2:2" x14ac:dyDescent="0.3">
      <c r="B2222"/>
    </row>
    <row r="2223" spans="2:2" x14ac:dyDescent="0.3">
      <c r="B2223"/>
    </row>
    <row r="2224" spans="2:2" x14ac:dyDescent="0.3">
      <c r="B2224"/>
    </row>
    <row r="2225" spans="2:2" x14ac:dyDescent="0.3">
      <c r="B2225"/>
    </row>
    <row r="2226" spans="2:2" x14ac:dyDescent="0.3">
      <c r="B2226"/>
    </row>
    <row r="2227" spans="2:2" x14ac:dyDescent="0.3">
      <c r="B2227"/>
    </row>
    <row r="2228" spans="2:2" x14ac:dyDescent="0.3">
      <c r="B2228"/>
    </row>
    <row r="2229" spans="2:2" x14ac:dyDescent="0.3">
      <c r="B2229"/>
    </row>
    <row r="2230" spans="2:2" x14ac:dyDescent="0.3">
      <c r="B2230"/>
    </row>
    <row r="2231" spans="2:2" x14ac:dyDescent="0.3">
      <c r="B2231"/>
    </row>
    <row r="2232" spans="2:2" x14ac:dyDescent="0.3">
      <c r="B2232"/>
    </row>
    <row r="2233" spans="2:2" x14ac:dyDescent="0.3">
      <c r="B2233"/>
    </row>
    <row r="2234" spans="2:2" x14ac:dyDescent="0.3">
      <c r="B2234"/>
    </row>
    <row r="2235" spans="2:2" x14ac:dyDescent="0.3">
      <c r="B2235"/>
    </row>
    <row r="2236" spans="2:2" x14ac:dyDescent="0.3">
      <c r="B2236"/>
    </row>
    <row r="2237" spans="2:2" x14ac:dyDescent="0.3">
      <c r="B2237"/>
    </row>
    <row r="2238" spans="2:2" x14ac:dyDescent="0.3">
      <c r="B2238"/>
    </row>
    <row r="2239" spans="2:2" x14ac:dyDescent="0.3">
      <c r="B2239"/>
    </row>
    <row r="2240" spans="2:2" x14ac:dyDescent="0.3">
      <c r="B2240"/>
    </row>
    <row r="2241" spans="2:2" x14ac:dyDescent="0.3">
      <c r="B2241"/>
    </row>
    <row r="2242" spans="2:2" x14ac:dyDescent="0.3">
      <c r="B2242"/>
    </row>
    <row r="2243" spans="2:2" x14ac:dyDescent="0.3">
      <c r="B2243"/>
    </row>
    <row r="2244" spans="2:2" x14ac:dyDescent="0.3">
      <c r="B2244"/>
    </row>
    <row r="2245" spans="2:2" x14ac:dyDescent="0.3">
      <c r="B2245"/>
    </row>
    <row r="2246" spans="2:2" x14ac:dyDescent="0.3">
      <c r="B2246"/>
    </row>
    <row r="2247" spans="2:2" x14ac:dyDescent="0.3">
      <c r="B2247"/>
    </row>
    <row r="2248" spans="2:2" x14ac:dyDescent="0.3">
      <c r="B2248"/>
    </row>
    <row r="2249" spans="2:2" x14ac:dyDescent="0.3">
      <c r="B2249"/>
    </row>
    <row r="2250" spans="2:2" x14ac:dyDescent="0.3">
      <c r="B2250"/>
    </row>
    <row r="2251" spans="2:2" x14ac:dyDescent="0.3">
      <c r="B2251"/>
    </row>
    <row r="2252" spans="2:2" x14ac:dyDescent="0.3">
      <c r="B2252"/>
    </row>
    <row r="2253" spans="2:2" x14ac:dyDescent="0.3">
      <c r="B2253"/>
    </row>
    <row r="2254" spans="2:2" x14ac:dyDescent="0.3">
      <c r="B2254"/>
    </row>
    <row r="2255" spans="2:2" x14ac:dyDescent="0.3">
      <c r="B2255"/>
    </row>
    <row r="2256" spans="2:2" x14ac:dyDescent="0.3">
      <c r="B2256"/>
    </row>
    <row r="2257" spans="2:2" x14ac:dyDescent="0.3">
      <c r="B2257"/>
    </row>
    <row r="2258" spans="2:2" x14ac:dyDescent="0.3">
      <c r="B2258"/>
    </row>
    <row r="2259" spans="2:2" x14ac:dyDescent="0.3">
      <c r="B2259"/>
    </row>
    <row r="2260" spans="2:2" x14ac:dyDescent="0.3">
      <c r="B2260"/>
    </row>
    <row r="2261" spans="2:2" x14ac:dyDescent="0.3">
      <c r="B2261"/>
    </row>
    <row r="2262" spans="2:2" x14ac:dyDescent="0.3">
      <c r="B2262"/>
    </row>
    <row r="2263" spans="2:2" x14ac:dyDescent="0.3">
      <c r="B2263"/>
    </row>
    <row r="2264" spans="2:2" x14ac:dyDescent="0.3">
      <c r="B2264"/>
    </row>
    <row r="2265" spans="2:2" x14ac:dyDescent="0.3">
      <c r="B2265"/>
    </row>
    <row r="2266" spans="2:2" x14ac:dyDescent="0.3">
      <c r="B2266"/>
    </row>
    <row r="2267" spans="2:2" x14ac:dyDescent="0.3">
      <c r="B2267"/>
    </row>
    <row r="2268" spans="2:2" x14ac:dyDescent="0.3">
      <c r="B2268"/>
    </row>
    <row r="2269" spans="2:2" x14ac:dyDescent="0.3">
      <c r="B2269"/>
    </row>
    <row r="2270" spans="2:2" x14ac:dyDescent="0.3">
      <c r="B2270"/>
    </row>
    <row r="2271" spans="2:2" x14ac:dyDescent="0.3">
      <c r="B2271"/>
    </row>
    <row r="2272" spans="2:2" x14ac:dyDescent="0.3">
      <c r="B2272"/>
    </row>
    <row r="2273" spans="2:2" x14ac:dyDescent="0.3">
      <c r="B2273"/>
    </row>
    <row r="2274" spans="2:2" x14ac:dyDescent="0.3">
      <c r="B2274"/>
    </row>
    <row r="2275" spans="2:2" x14ac:dyDescent="0.3">
      <c r="B2275"/>
    </row>
    <row r="2276" spans="2:2" x14ac:dyDescent="0.3">
      <c r="B2276"/>
    </row>
    <row r="2277" spans="2:2" x14ac:dyDescent="0.3">
      <c r="B2277"/>
    </row>
    <row r="2278" spans="2:2" x14ac:dyDescent="0.3">
      <c r="B2278"/>
    </row>
    <row r="2279" spans="2:2" x14ac:dyDescent="0.3">
      <c r="B2279"/>
    </row>
    <row r="2280" spans="2:2" x14ac:dyDescent="0.3">
      <c r="B2280"/>
    </row>
    <row r="2281" spans="2:2" x14ac:dyDescent="0.3">
      <c r="B2281"/>
    </row>
    <row r="2282" spans="2:2" x14ac:dyDescent="0.3">
      <c r="B2282"/>
    </row>
    <row r="2283" spans="2:2" x14ac:dyDescent="0.3">
      <c r="B2283"/>
    </row>
    <row r="2284" spans="2:2" x14ac:dyDescent="0.3">
      <c r="B2284"/>
    </row>
    <row r="2285" spans="2:2" x14ac:dyDescent="0.3">
      <c r="B2285"/>
    </row>
    <row r="2286" spans="2:2" x14ac:dyDescent="0.3">
      <c r="B2286"/>
    </row>
    <row r="2287" spans="2:2" x14ac:dyDescent="0.3">
      <c r="B2287"/>
    </row>
    <row r="2288" spans="2:2" x14ac:dyDescent="0.3">
      <c r="B2288"/>
    </row>
    <row r="2289" spans="2:2" x14ac:dyDescent="0.3">
      <c r="B2289"/>
    </row>
    <row r="2290" spans="2:2" x14ac:dyDescent="0.3">
      <c r="B2290"/>
    </row>
    <row r="2291" spans="2:2" x14ac:dyDescent="0.3">
      <c r="B2291"/>
    </row>
    <row r="2292" spans="2:2" x14ac:dyDescent="0.3">
      <c r="B2292"/>
    </row>
    <row r="2293" spans="2:2" x14ac:dyDescent="0.3">
      <c r="B2293"/>
    </row>
    <row r="2294" spans="2:2" x14ac:dyDescent="0.3">
      <c r="B2294"/>
    </row>
    <row r="2295" spans="2:2" x14ac:dyDescent="0.3">
      <c r="B2295"/>
    </row>
    <row r="2296" spans="2:2" x14ac:dyDescent="0.3">
      <c r="B2296"/>
    </row>
    <row r="2297" spans="2:2" x14ac:dyDescent="0.3">
      <c r="B2297"/>
    </row>
    <row r="2298" spans="2:2" x14ac:dyDescent="0.3">
      <c r="B2298"/>
    </row>
    <row r="2299" spans="2:2" x14ac:dyDescent="0.3">
      <c r="B2299"/>
    </row>
    <row r="2300" spans="2:2" x14ac:dyDescent="0.3">
      <c r="B2300"/>
    </row>
    <row r="2301" spans="2:2" x14ac:dyDescent="0.3">
      <c r="B2301"/>
    </row>
    <row r="2302" spans="2:2" x14ac:dyDescent="0.3">
      <c r="B2302"/>
    </row>
    <row r="2303" spans="2:2" x14ac:dyDescent="0.3">
      <c r="B2303"/>
    </row>
    <row r="2304" spans="2:2" x14ac:dyDescent="0.3">
      <c r="B2304"/>
    </row>
    <row r="2305" spans="2:2" x14ac:dyDescent="0.3">
      <c r="B2305"/>
    </row>
    <row r="2306" spans="2:2" x14ac:dyDescent="0.3">
      <c r="B2306"/>
    </row>
    <row r="2307" spans="2:2" x14ac:dyDescent="0.3">
      <c r="B2307"/>
    </row>
    <row r="2308" spans="2:2" x14ac:dyDescent="0.3">
      <c r="B2308"/>
    </row>
    <row r="2309" spans="2:2" x14ac:dyDescent="0.3">
      <c r="B2309"/>
    </row>
    <row r="2310" spans="2:2" x14ac:dyDescent="0.3">
      <c r="B2310"/>
    </row>
    <row r="2311" spans="2:2" x14ac:dyDescent="0.3">
      <c r="B2311"/>
    </row>
    <row r="2312" spans="2:2" x14ac:dyDescent="0.3">
      <c r="B2312"/>
    </row>
    <row r="2313" spans="2:2" x14ac:dyDescent="0.3">
      <c r="B2313"/>
    </row>
    <row r="2314" spans="2:2" x14ac:dyDescent="0.3">
      <c r="B2314"/>
    </row>
    <row r="2315" spans="2:2" x14ac:dyDescent="0.3">
      <c r="B2315"/>
    </row>
    <row r="2316" spans="2:2" x14ac:dyDescent="0.3">
      <c r="B2316"/>
    </row>
    <row r="2317" spans="2:2" x14ac:dyDescent="0.3">
      <c r="B2317"/>
    </row>
    <row r="2318" spans="2:2" x14ac:dyDescent="0.3">
      <c r="B2318"/>
    </row>
    <row r="2319" spans="2:2" x14ac:dyDescent="0.3">
      <c r="B2319"/>
    </row>
    <row r="2320" spans="2:2" x14ac:dyDescent="0.3">
      <c r="B2320"/>
    </row>
    <row r="2321" spans="2:2" x14ac:dyDescent="0.3">
      <c r="B2321"/>
    </row>
    <row r="2322" spans="2:2" x14ac:dyDescent="0.3">
      <c r="B2322"/>
    </row>
    <row r="2323" spans="2:2" x14ac:dyDescent="0.3">
      <c r="B2323"/>
    </row>
    <row r="2324" spans="2:2" x14ac:dyDescent="0.3">
      <c r="B2324"/>
    </row>
    <row r="2325" spans="2:2" x14ac:dyDescent="0.3">
      <c r="B2325"/>
    </row>
    <row r="2326" spans="2:2" x14ac:dyDescent="0.3">
      <c r="B2326"/>
    </row>
    <row r="2327" spans="2:2" x14ac:dyDescent="0.3">
      <c r="B2327"/>
    </row>
    <row r="2328" spans="2:2" x14ac:dyDescent="0.3">
      <c r="B2328"/>
    </row>
    <row r="2329" spans="2:2" x14ac:dyDescent="0.3">
      <c r="B2329"/>
    </row>
    <row r="2330" spans="2:2" x14ac:dyDescent="0.3">
      <c r="B2330"/>
    </row>
    <row r="2331" spans="2:2" x14ac:dyDescent="0.3">
      <c r="B2331"/>
    </row>
    <row r="2332" spans="2:2" x14ac:dyDescent="0.3">
      <c r="B2332"/>
    </row>
    <row r="2333" spans="2:2" x14ac:dyDescent="0.3">
      <c r="B2333"/>
    </row>
    <row r="2334" spans="2:2" x14ac:dyDescent="0.3">
      <c r="B2334"/>
    </row>
    <row r="2335" spans="2:2" x14ac:dyDescent="0.3">
      <c r="B2335"/>
    </row>
    <row r="2336" spans="2:2" x14ac:dyDescent="0.3">
      <c r="B2336"/>
    </row>
    <row r="2337" spans="2:2" x14ac:dyDescent="0.3">
      <c r="B2337"/>
    </row>
    <row r="2338" spans="2:2" x14ac:dyDescent="0.3">
      <c r="B2338"/>
    </row>
    <row r="2339" spans="2:2" x14ac:dyDescent="0.3">
      <c r="B2339"/>
    </row>
    <row r="2340" spans="2:2" x14ac:dyDescent="0.3">
      <c r="B2340"/>
    </row>
    <row r="2341" spans="2:2" x14ac:dyDescent="0.3">
      <c r="B2341"/>
    </row>
    <row r="2342" spans="2:2" x14ac:dyDescent="0.3">
      <c r="B2342"/>
    </row>
    <row r="2343" spans="2:2" x14ac:dyDescent="0.3">
      <c r="B2343"/>
    </row>
    <row r="2344" spans="2:2" x14ac:dyDescent="0.3">
      <c r="B2344"/>
    </row>
    <row r="2345" spans="2:2" x14ac:dyDescent="0.3">
      <c r="B2345"/>
    </row>
    <row r="2346" spans="2:2" x14ac:dyDescent="0.3">
      <c r="B2346"/>
    </row>
    <row r="2347" spans="2:2" x14ac:dyDescent="0.3">
      <c r="B2347"/>
    </row>
    <row r="2348" spans="2:2" x14ac:dyDescent="0.3">
      <c r="B2348"/>
    </row>
    <row r="2349" spans="2:2" x14ac:dyDescent="0.3">
      <c r="B2349"/>
    </row>
    <row r="2350" spans="2:2" x14ac:dyDescent="0.3">
      <c r="B2350"/>
    </row>
    <row r="2351" spans="2:2" x14ac:dyDescent="0.3">
      <c r="B2351"/>
    </row>
    <row r="2352" spans="2:2" x14ac:dyDescent="0.3">
      <c r="B2352"/>
    </row>
    <row r="2353" spans="2:2" x14ac:dyDescent="0.3">
      <c r="B2353"/>
    </row>
    <row r="2354" spans="2:2" x14ac:dyDescent="0.3">
      <c r="B2354"/>
    </row>
    <row r="2355" spans="2:2" x14ac:dyDescent="0.3">
      <c r="B2355"/>
    </row>
    <row r="2356" spans="2:2" x14ac:dyDescent="0.3">
      <c r="B2356"/>
    </row>
    <row r="2357" spans="2:2" x14ac:dyDescent="0.3">
      <c r="B2357"/>
    </row>
    <row r="2358" spans="2:2" x14ac:dyDescent="0.3">
      <c r="B2358"/>
    </row>
    <row r="2359" spans="2:2" x14ac:dyDescent="0.3">
      <c r="B2359"/>
    </row>
    <row r="2360" spans="2:2" x14ac:dyDescent="0.3">
      <c r="B2360"/>
    </row>
    <row r="2361" spans="2:2" x14ac:dyDescent="0.3">
      <c r="B2361"/>
    </row>
    <row r="2362" spans="2:2" x14ac:dyDescent="0.3">
      <c r="B2362"/>
    </row>
    <row r="2363" spans="2:2" x14ac:dyDescent="0.3">
      <c r="B2363"/>
    </row>
    <row r="2364" spans="2:2" x14ac:dyDescent="0.3">
      <c r="B2364"/>
    </row>
    <row r="2365" spans="2:2" x14ac:dyDescent="0.3">
      <c r="B2365"/>
    </row>
    <row r="2366" spans="2:2" x14ac:dyDescent="0.3">
      <c r="B2366"/>
    </row>
    <row r="2367" spans="2:2" x14ac:dyDescent="0.3">
      <c r="B2367"/>
    </row>
    <row r="2368" spans="2:2" x14ac:dyDescent="0.3">
      <c r="B2368"/>
    </row>
    <row r="2369" spans="2:2" x14ac:dyDescent="0.3">
      <c r="B2369"/>
    </row>
    <row r="2370" spans="2:2" x14ac:dyDescent="0.3">
      <c r="B2370"/>
    </row>
    <row r="2371" spans="2:2" x14ac:dyDescent="0.3">
      <c r="B2371"/>
    </row>
    <row r="2372" spans="2:2" x14ac:dyDescent="0.3">
      <c r="B2372"/>
    </row>
    <row r="2373" spans="2:2" x14ac:dyDescent="0.3">
      <c r="B2373"/>
    </row>
    <row r="2374" spans="2:2" x14ac:dyDescent="0.3">
      <c r="B2374"/>
    </row>
    <row r="2375" spans="2:2" x14ac:dyDescent="0.3">
      <c r="B2375"/>
    </row>
    <row r="2376" spans="2:2" x14ac:dyDescent="0.3">
      <c r="B2376"/>
    </row>
    <row r="2377" spans="2:2" x14ac:dyDescent="0.3">
      <c r="B2377"/>
    </row>
    <row r="2378" spans="2:2" x14ac:dyDescent="0.3">
      <c r="B2378"/>
    </row>
    <row r="2379" spans="2:2" x14ac:dyDescent="0.3">
      <c r="B2379"/>
    </row>
    <row r="2380" spans="2:2" x14ac:dyDescent="0.3">
      <c r="B2380"/>
    </row>
    <row r="2381" spans="2:2" x14ac:dyDescent="0.3">
      <c r="B2381"/>
    </row>
    <row r="2382" spans="2:2" x14ac:dyDescent="0.3">
      <c r="B2382"/>
    </row>
    <row r="2383" spans="2:2" x14ac:dyDescent="0.3">
      <c r="B2383"/>
    </row>
    <row r="2384" spans="2:2" x14ac:dyDescent="0.3">
      <c r="B2384"/>
    </row>
    <row r="2385" spans="2:2" x14ac:dyDescent="0.3">
      <c r="B2385"/>
    </row>
    <row r="2386" spans="2:2" x14ac:dyDescent="0.3">
      <c r="B2386"/>
    </row>
    <row r="2387" spans="2:2" x14ac:dyDescent="0.3">
      <c r="B2387"/>
    </row>
    <row r="2388" spans="2:2" x14ac:dyDescent="0.3">
      <c r="B2388"/>
    </row>
    <row r="2389" spans="2:2" x14ac:dyDescent="0.3">
      <c r="B2389"/>
    </row>
    <row r="2390" spans="2:2" x14ac:dyDescent="0.3">
      <c r="B2390"/>
    </row>
    <row r="2391" spans="2:2" x14ac:dyDescent="0.3">
      <c r="B2391"/>
    </row>
    <row r="2392" spans="2:2" x14ac:dyDescent="0.3">
      <c r="B2392"/>
    </row>
    <row r="2393" spans="2:2" x14ac:dyDescent="0.3">
      <c r="B2393"/>
    </row>
    <row r="2394" spans="2:2" x14ac:dyDescent="0.3">
      <c r="B2394"/>
    </row>
    <row r="2395" spans="2:2" x14ac:dyDescent="0.3">
      <c r="B2395"/>
    </row>
    <row r="2396" spans="2:2" x14ac:dyDescent="0.3">
      <c r="B2396"/>
    </row>
    <row r="2397" spans="2:2" x14ac:dyDescent="0.3">
      <c r="B2397"/>
    </row>
    <row r="2398" spans="2:2" x14ac:dyDescent="0.3">
      <c r="B2398"/>
    </row>
    <row r="2399" spans="2:2" x14ac:dyDescent="0.3">
      <c r="B2399"/>
    </row>
    <row r="2400" spans="2:2" x14ac:dyDescent="0.3">
      <c r="B2400"/>
    </row>
    <row r="2401" spans="2:2" x14ac:dyDescent="0.3">
      <c r="B2401"/>
    </row>
    <row r="2402" spans="2:2" x14ac:dyDescent="0.3">
      <c r="B2402"/>
    </row>
    <row r="2403" spans="2:2" x14ac:dyDescent="0.3">
      <c r="B2403"/>
    </row>
    <row r="2404" spans="2:2" x14ac:dyDescent="0.3">
      <c r="B2404"/>
    </row>
    <row r="2405" spans="2:2" x14ac:dyDescent="0.3">
      <c r="B2405"/>
    </row>
    <row r="2406" spans="2:2" x14ac:dyDescent="0.3">
      <c r="B2406"/>
    </row>
    <row r="2407" spans="2:2" x14ac:dyDescent="0.3">
      <c r="B2407"/>
    </row>
    <row r="2408" spans="2:2" x14ac:dyDescent="0.3">
      <c r="B2408"/>
    </row>
    <row r="2409" spans="2:2" x14ac:dyDescent="0.3">
      <c r="B2409"/>
    </row>
    <row r="2410" spans="2:2" x14ac:dyDescent="0.3">
      <c r="B2410"/>
    </row>
    <row r="2411" spans="2:2" x14ac:dyDescent="0.3">
      <c r="B2411"/>
    </row>
    <row r="2412" spans="2:2" x14ac:dyDescent="0.3">
      <c r="B2412"/>
    </row>
    <row r="2413" spans="2:2" x14ac:dyDescent="0.3">
      <c r="B2413"/>
    </row>
    <row r="2414" spans="2:2" x14ac:dyDescent="0.3">
      <c r="B2414"/>
    </row>
    <row r="2415" spans="2:2" x14ac:dyDescent="0.3">
      <c r="B2415"/>
    </row>
    <row r="2416" spans="2:2" x14ac:dyDescent="0.3">
      <c r="B2416"/>
    </row>
    <row r="2417" spans="2:2" x14ac:dyDescent="0.3">
      <c r="B2417"/>
    </row>
    <row r="2418" spans="2:2" x14ac:dyDescent="0.3">
      <c r="B2418"/>
    </row>
    <row r="2419" spans="2:2" x14ac:dyDescent="0.3">
      <c r="B2419"/>
    </row>
    <row r="2420" spans="2:2" x14ac:dyDescent="0.3">
      <c r="B2420"/>
    </row>
    <row r="2421" spans="2:2" x14ac:dyDescent="0.3">
      <c r="B2421"/>
    </row>
    <row r="2422" spans="2:2" x14ac:dyDescent="0.3">
      <c r="B2422"/>
    </row>
    <row r="2423" spans="2:2" x14ac:dyDescent="0.3">
      <c r="B2423"/>
    </row>
    <row r="2424" spans="2:2" x14ac:dyDescent="0.3">
      <c r="B2424"/>
    </row>
    <row r="2425" spans="2:2" x14ac:dyDescent="0.3">
      <c r="B2425"/>
    </row>
    <row r="2426" spans="2:2" x14ac:dyDescent="0.3">
      <c r="B2426"/>
    </row>
    <row r="2427" spans="2:2" x14ac:dyDescent="0.3">
      <c r="B2427"/>
    </row>
    <row r="2428" spans="2:2" x14ac:dyDescent="0.3">
      <c r="B2428"/>
    </row>
    <row r="2429" spans="2:2" x14ac:dyDescent="0.3">
      <c r="B2429"/>
    </row>
    <row r="2430" spans="2:2" x14ac:dyDescent="0.3">
      <c r="B2430"/>
    </row>
    <row r="2431" spans="2:2" x14ac:dyDescent="0.3">
      <c r="B2431"/>
    </row>
    <row r="2432" spans="2:2" x14ac:dyDescent="0.3">
      <c r="B2432"/>
    </row>
    <row r="2433" spans="2:2" x14ac:dyDescent="0.3">
      <c r="B2433"/>
    </row>
    <row r="2434" spans="2:2" x14ac:dyDescent="0.3">
      <c r="B2434"/>
    </row>
    <row r="2435" spans="2:2" x14ac:dyDescent="0.3">
      <c r="B2435"/>
    </row>
    <row r="2436" spans="2:2" x14ac:dyDescent="0.3">
      <c r="B2436"/>
    </row>
    <row r="2437" spans="2:2" x14ac:dyDescent="0.3">
      <c r="B2437"/>
    </row>
    <row r="2438" spans="2:2" x14ac:dyDescent="0.3">
      <c r="B2438"/>
    </row>
    <row r="2439" spans="2:2" x14ac:dyDescent="0.3">
      <c r="B2439"/>
    </row>
    <row r="2440" spans="2:2" x14ac:dyDescent="0.3">
      <c r="B2440"/>
    </row>
    <row r="2441" spans="2:2" x14ac:dyDescent="0.3">
      <c r="B2441"/>
    </row>
    <row r="2442" spans="2:2" x14ac:dyDescent="0.3">
      <c r="B2442"/>
    </row>
    <row r="2443" spans="2:2" x14ac:dyDescent="0.3">
      <c r="B2443"/>
    </row>
    <row r="2444" spans="2:2" x14ac:dyDescent="0.3">
      <c r="B2444"/>
    </row>
    <row r="2445" spans="2:2" x14ac:dyDescent="0.3">
      <c r="B2445"/>
    </row>
    <row r="2446" spans="2:2" x14ac:dyDescent="0.3">
      <c r="B2446"/>
    </row>
    <row r="2447" spans="2:2" x14ac:dyDescent="0.3">
      <c r="B2447"/>
    </row>
    <row r="2448" spans="2:2" x14ac:dyDescent="0.3">
      <c r="B2448"/>
    </row>
    <row r="2449" spans="2:2" x14ac:dyDescent="0.3">
      <c r="B2449"/>
    </row>
    <row r="2450" spans="2:2" x14ac:dyDescent="0.3">
      <c r="B2450"/>
    </row>
    <row r="2451" spans="2:2" x14ac:dyDescent="0.3">
      <c r="B2451"/>
    </row>
    <row r="2452" spans="2:2" x14ac:dyDescent="0.3">
      <c r="B2452"/>
    </row>
    <row r="2453" spans="2:2" x14ac:dyDescent="0.3">
      <c r="B2453"/>
    </row>
    <row r="2454" spans="2:2" x14ac:dyDescent="0.3">
      <c r="B2454"/>
    </row>
    <row r="2455" spans="2:2" x14ac:dyDescent="0.3">
      <c r="B2455"/>
    </row>
    <row r="2456" spans="2:2" x14ac:dyDescent="0.3">
      <c r="B2456"/>
    </row>
    <row r="2457" spans="2:2" x14ac:dyDescent="0.3">
      <c r="B2457"/>
    </row>
    <row r="2458" spans="2:2" x14ac:dyDescent="0.3">
      <c r="B2458"/>
    </row>
    <row r="2459" spans="2:2" x14ac:dyDescent="0.3">
      <c r="B2459"/>
    </row>
    <row r="2460" spans="2:2" x14ac:dyDescent="0.3">
      <c r="B2460"/>
    </row>
    <row r="2461" spans="2:2" x14ac:dyDescent="0.3">
      <c r="B2461"/>
    </row>
    <row r="2462" spans="2:2" x14ac:dyDescent="0.3">
      <c r="B2462"/>
    </row>
    <row r="2463" spans="2:2" x14ac:dyDescent="0.3">
      <c r="B2463"/>
    </row>
    <row r="2464" spans="2:2" x14ac:dyDescent="0.3">
      <c r="B2464"/>
    </row>
    <row r="2465" spans="2:2" x14ac:dyDescent="0.3">
      <c r="B2465"/>
    </row>
    <row r="2466" spans="2:2" x14ac:dyDescent="0.3">
      <c r="B2466"/>
    </row>
    <row r="2467" spans="2:2" x14ac:dyDescent="0.3">
      <c r="B2467"/>
    </row>
    <row r="2468" spans="2:2" x14ac:dyDescent="0.3">
      <c r="B2468"/>
    </row>
    <row r="2469" spans="2:2" x14ac:dyDescent="0.3">
      <c r="B2469"/>
    </row>
    <row r="2470" spans="2:2" x14ac:dyDescent="0.3">
      <c r="B2470"/>
    </row>
    <row r="2471" spans="2:2" x14ac:dyDescent="0.3">
      <c r="B2471"/>
    </row>
    <row r="2472" spans="2:2" x14ac:dyDescent="0.3">
      <c r="B2472"/>
    </row>
    <row r="2473" spans="2:2" x14ac:dyDescent="0.3">
      <c r="B2473"/>
    </row>
    <row r="2474" spans="2:2" x14ac:dyDescent="0.3">
      <c r="B2474"/>
    </row>
    <row r="2475" spans="2:2" x14ac:dyDescent="0.3">
      <c r="B2475"/>
    </row>
    <row r="2476" spans="2:2" x14ac:dyDescent="0.3">
      <c r="B2476"/>
    </row>
    <row r="2477" spans="2:2" x14ac:dyDescent="0.3">
      <c r="B2477"/>
    </row>
    <row r="2478" spans="2:2" x14ac:dyDescent="0.3">
      <c r="B2478"/>
    </row>
    <row r="2479" spans="2:2" x14ac:dyDescent="0.3">
      <c r="B2479"/>
    </row>
    <row r="2480" spans="2:2" x14ac:dyDescent="0.3">
      <c r="B2480"/>
    </row>
    <row r="2481" spans="2:2" x14ac:dyDescent="0.3">
      <c r="B2481"/>
    </row>
    <row r="2482" spans="2:2" x14ac:dyDescent="0.3">
      <c r="B2482"/>
    </row>
    <row r="2483" spans="2:2" x14ac:dyDescent="0.3">
      <c r="B2483"/>
    </row>
    <row r="2484" spans="2:2" x14ac:dyDescent="0.3">
      <c r="B2484"/>
    </row>
    <row r="2485" spans="2:2" x14ac:dyDescent="0.3">
      <c r="B2485"/>
    </row>
    <row r="2486" spans="2:2" x14ac:dyDescent="0.3">
      <c r="B2486"/>
    </row>
    <row r="2487" spans="2:2" x14ac:dyDescent="0.3">
      <c r="B2487"/>
    </row>
    <row r="2488" spans="2:2" x14ac:dyDescent="0.3">
      <c r="B2488"/>
    </row>
    <row r="2489" spans="2:2" x14ac:dyDescent="0.3">
      <c r="B2489"/>
    </row>
    <row r="2490" spans="2:2" x14ac:dyDescent="0.3">
      <c r="B2490"/>
    </row>
    <row r="2491" spans="2:2" x14ac:dyDescent="0.3">
      <c r="B2491"/>
    </row>
    <row r="2492" spans="2:2" x14ac:dyDescent="0.3">
      <c r="B2492"/>
    </row>
    <row r="2493" spans="2:2" x14ac:dyDescent="0.3">
      <c r="B2493"/>
    </row>
    <row r="2494" spans="2:2" x14ac:dyDescent="0.3">
      <c r="B2494"/>
    </row>
    <row r="2495" spans="2:2" x14ac:dyDescent="0.3">
      <c r="B2495"/>
    </row>
    <row r="2496" spans="2:2" x14ac:dyDescent="0.3">
      <c r="B2496"/>
    </row>
    <row r="2497" spans="2:2" x14ac:dyDescent="0.3">
      <c r="B2497"/>
    </row>
    <row r="2498" spans="2:2" x14ac:dyDescent="0.3">
      <c r="B2498"/>
    </row>
    <row r="2499" spans="2:2" x14ac:dyDescent="0.3">
      <c r="B2499"/>
    </row>
    <row r="2500" spans="2:2" x14ac:dyDescent="0.3">
      <c r="B2500"/>
    </row>
    <row r="2501" spans="2:2" x14ac:dyDescent="0.3">
      <c r="B2501"/>
    </row>
    <row r="2502" spans="2:2" x14ac:dyDescent="0.3">
      <c r="B2502"/>
    </row>
    <row r="2503" spans="2:2" x14ac:dyDescent="0.3">
      <c r="B2503"/>
    </row>
    <row r="2504" spans="2:2" x14ac:dyDescent="0.3">
      <c r="B2504"/>
    </row>
    <row r="2505" spans="2:2" x14ac:dyDescent="0.3">
      <c r="B2505"/>
    </row>
    <row r="2506" spans="2:2" x14ac:dyDescent="0.3">
      <c r="B2506"/>
    </row>
    <row r="2507" spans="2:2" x14ac:dyDescent="0.3">
      <c r="B2507"/>
    </row>
    <row r="2508" spans="2:2" x14ac:dyDescent="0.3">
      <c r="B2508"/>
    </row>
    <row r="2509" spans="2:2" x14ac:dyDescent="0.3">
      <c r="B2509"/>
    </row>
    <row r="2510" spans="2:2" x14ac:dyDescent="0.3">
      <c r="B2510"/>
    </row>
    <row r="2511" spans="2:2" x14ac:dyDescent="0.3">
      <c r="B2511"/>
    </row>
    <row r="2512" spans="2:2" x14ac:dyDescent="0.3">
      <c r="B2512"/>
    </row>
    <row r="2513" spans="2:2" x14ac:dyDescent="0.3">
      <c r="B2513"/>
    </row>
    <row r="2514" spans="2:2" x14ac:dyDescent="0.3">
      <c r="B2514"/>
    </row>
    <row r="2515" spans="2:2" x14ac:dyDescent="0.3">
      <c r="B2515"/>
    </row>
    <row r="2516" spans="2:2" x14ac:dyDescent="0.3">
      <c r="B2516"/>
    </row>
    <row r="2517" spans="2:2" x14ac:dyDescent="0.3">
      <c r="B2517"/>
    </row>
    <row r="2518" spans="2:2" x14ac:dyDescent="0.3">
      <c r="B2518"/>
    </row>
    <row r="2519" spans="2:2" x14ac:dyDescent="0.3">
      <c r="B2519"/>
    </row>
    <row r="2520" spans="2:2" x14ac:dyDescent="0.3">
      <c r="B2520"/>
    </row>
    <row r="2521" spans="2:2" x14ac:dyDescent="0.3">
      <c r="B2521"/>
    </row>
    <row r="2522" spans="2:2" x14ac:dyDescent="0.3">
      <c r="B2522"/>
    </row>
    <row r="2523" spans="2:2" x14ac:dyDescent="0.3">
      <c r="B2523"/>
    </row>
    <row r="2524" spans="2:2" x14ac:dyDescent="0.3">
      <c r="B2524"/>
    </row>
    <row r="2525" spans="2:2" x14ac:dyDescent="0.3">
      <c r="B2525"/>
    </row>
    <row r="2526" spans="2:2" x14ac:dyDescent="0.3">
      <c r="B2526"/>
    </row>
    <row r="2527" spans="2:2" x14ac:dyDescent="0.3">
      <c r="B2527"/>
    </row>
    <row r="2528" spans="2:2" x14ac:dyDescent="0.3">
      <c r="B2528"/>
    </row>
    <row r="2529" spans="2:2" x14ac:dyDescent="0.3">
      <c r="B2529"/>
    </row>
    <row r="2530" spans="2:2" x14ac:dyDescent="0.3">
      <c r="B2530"/>
    </row>
    <row r="2531" spans="2:2" x14ac:dyDescent="0.3">
      <c r="B2531"/>
    </row>
    <row r="2532" spans="2:2" x14ac:dyDescent="0.3">
      <c r="B2532"/>
    </row>
    <row r="2533" spans="2:2" x14ac:dyDescent="0.3">
      <c r="B2533"/>
    </row>
    <row r="2534" spans="2:2" x14ac:dyDescent="0.3">
      <c r="B2534"/>
    </row>
    <row r="2535" spans="2:2" x14ac:dyDescent="0.3">
      <c r="B2535"/>
    </row>
    <row r="2536" spans="2:2" x14ac:dyDescent="0.3">
      <c r="B2536"/>
    </row>
    <row r="2537" spans="2:2" x14ac:dyDescent="0.3">
      <c r="B2537"/>
    </row>
    <row r="2538" spans="2:2" x14ac:dyDescent="0.3">
      <c r="B2538"/>
    </row>
    <row r="2539" spans="2:2" x14ac:dyDescent="0.3">
      <c r="B2539"/>
    </row>
    <row r="2540" spans="2:2" x14ac:dyDescent="0.3">
      <c r="B2540"/>
    </row>
    <row r="2541" spans="2:2" x14ac:dyDescent="0.3">
      <c r="B2541"/>
    </row>
    <row r="2542" spans="2:2" x14ac:dyDescent="0.3">
      <c r="B2542"/>
    </row>
    <row r="2543" spans="2:2" x14ac:dyDescent="0.3">
      <c r="B2543"/>
    </row>
    <row r="2544" spans="2:2" x14ac:dyDescent="0.3">
      <c r="B2544"/>
    </row>
    <row r="2545" spans="2:2" x14ac:dyDescent="0.3">
      <c r="B2545"/>
    </row>
    <row r="2546" spans="2:2" x14ac:dyDescent="0.3">
      <c r="B2546"/>
    </row>
    <row r="2547" spans="2:2" x14ac:dyDescent="0.3">
      <c r="B2547"/>
    </row>
    <row r="2548" spans="2:2" x14ac:dyDescent="0.3">
      <c r="B2548"/>
    </row>
    <row r="2549" spans="2:2" x14ac:dyDescent="0.3">
      <c r="B2549"/>
    </row>
    <row r="2550" spans="2:2" x14ac:dyDescent="0.3">
      <c r="B2550"/>
    </row>
    <row r="2551" spans="2:2" x14ac:dyDescent="0.3">
      <c r="B2551"/>
    </row>
    <row r="2552" spans="2:2" x14ac:dyDescent="0.3">
      <c r="B2552"/>
    </row>
    <row r="2553" spans="2:2" x14ac:dyDescent="0.3">
      <c r="B2553"/>
    </row>
    <row r="2554" spans="2:2" x14ac:dyDescent="0.3">
      <c r="B2554"/>
    </row>
    <row r="2555" spans="2:2" x14ac:dyDescent="0.3">
      <c r="B2555"/>
    </row>
    <row r="2556" spans="2:2" x14ac:dyDescent="0.3">
      <c r="B2556"/>
    </row>
    <row r="2557" spans="2:2" x14ac:dyDescent="0.3">
      <c r="B2557"/>
    </row>
    <row r="2558" spans="2:2" x14ac:dyDescent="0.3">
      <c r="B2558"/>
    </row>
    <row r="2559" spans="2:2" x14ac:dyDescent="0.3">
      <c r="B2559"/>
    </row>
    <row r="2560" spans="2:2" x14ac:dyDescent="0.3">
      <c r="B2560"/>
    </row>
    <row r="2561" spans="2:2" x14ac:dyDescent="0.3">
      <c r="B2561"/>
    </row>
    <row r="2562" spans="2:2" x14ac:dyDescent="0.3">
      <c r="B2562"/>
    </row>
    <row r="2563" spans="2:2" x14ac:dyDescent="0.3">
      <c r="B2563"/>
    </row>
    <row r="2564" spans="2:2" x14ac:dyDescent="0.3">
      <c r="B2564"/>
    </row>
    <row r="2565" spans="2:2" x14ac:dyDescent="0.3">
      <c r="B2565"/>
    </row>
    <row r="2566" spans="2:2" x14ac:dyDescent="0.3">
      <c r="B2566"/>
    </row>
    <row r="2567" spans="2:2" x14ac:dyDescent="0.3">
      <c r="B2567"/>
    </row>
    <row r="2568" spans="2:2" x14ac:dyDescent="0.3">
      <c r="B2568"/>
    </row>
    <row r="2569" spans="2:2" x14ac:dyDescent="0.3">
      <c r="B2569"/>
    </row>
    <row r="2570" spans="2:2" x14ac:dyDescent="0.3">
      <c r="B2570"/>
    </row>
    <row r="2571" spans="2:2" x14ac:dyDescent="0.3">
      <c r="B2571"/>
    </row>
    <row r="2572" spans="2:2" x14ac:dyDescent="0.3">
      <c r="B2572"/>
    </row>
    <row r="2573" spans="2:2" x14ac:dyDescent="0.3">
      <c r="B2573"/>
    </row>
    <row r="2574" spans="2:2" x14ac:dyDescent="0.3">
      <c r="B2574"/>
    </row>
    <row r="2575" spans="2:2" x14ac:dyDescent="0.3">
      <c r="B2575"/>
    </row>
    <row r="2576" spans="2:2" x14ac:dyDescent="0.3">
      <c r="B2576"/>
    </row>
    <row r="2577" spans="2:2" x14ac:dyDescent="0.3">
      <c r="B2577"/>
    </row>
    <row r="2578" spans="2:2" x14ac:dyDescent="0.3">
      <c r="B2578"/>
    </row>
    <row r="2579" spans="2:2" x14ac:dyDescent="0.3">
      <c r="B2579"/>
    </row>
    <row r="2580" spans="2:2" x14ac:dyDescent="0.3">
      <c r="B2580"/>
    </row>
    <row r="2581" spans="2:2" x14ac:dyDescent="0.3">
      <c r="B2581"/>
    </row>
    <row r="2582" spans="2:2" x14ac:dyDescent="0.3">
      <c r="B2582"/>
    </row>
    <row r="2583" spans="2:2" x14ac:dyDescent="0.3">
      <c r="B2583"/>
    </row>
    <row r="2584" spans="2:2" x14ac:dyDescent="0.3">
      <c r="B2584"/>
    </row>
    <row r="2585" spans="2:2" x14ac:dyDescent="0.3">
      <c r="B2585"/>
    </row>
    <row r="2586" spans="2:2" x14ac:dyDescent="0.3">
      <c r="B2586"/>
    </row>
    <row r="2587" spans="2:2" x14ac:dyDescent="0.3">
      <c r="B2587"/>
    </row>
    <row r="2588" spans="2:2" x14ac:dyDescent="0.3">
      <c r="B2588"/>
    </row>
    <row r="2589" spans="2:2" x14ac:dyDescent="0.3">
      <c r="B2589"/>
    </row>
    <row r="2590" spans="2:2" x14ac:dyDescent="0.3">
      <c r="B2590"/>
    </row>
    <row r="2591" spans="2:2" x14ac:dyDescent="0.3">
      <c r="B2591"/>
    </row>
    <row r="2592" spans="2:2" x14ac:dyDescent="0.3">
      <c r="B2592"/>
    </row>
    <row r="2593" spans="2:2" x14ac:dyDescent="0.3">
      <c r="B2593"/>
    </row>
    <row r="2594" spans="2:2" x14ac:dyDescent="0.3">
      <c r="B2594"/>
    </row>
    <row r="2595" spans="2:2" x14ac:dyDescent="0.3">
      <c r="B2595"/>
    </row>
    <row r="2596" spans="2:2" x14ac:dyDescent="0.3">
      <c r="B2596"/>
    </row>
    <row r="2597" spans="2:2" x14ac:dyDescent="0.3">
      <c r="B2597"/>
    </row>
    <row r="2598" spans="2:2" x14ac:dyDescent="0.3">
      <c r="B2598"/>
    </row>
    <row r="2599" spans="2:2" x14ac:dyDescent="0.3">
      <c r="B2599"/>
    </row>
    <row r="2600" spans="2:2" x14ac:dyDescent="0.3">
      <c r="B2600"/>
    </row>
    <row r="2601" spans="2:2" x14ac:dyDescent="0.3">
      <c r="B2601"/>
    </row>
    <row r="2602" spans="2:2" x14ac:dyDescent="0.3">
      <c r="B2602"/>
    </row>
    <row r="2603" spans="2:2" x14ac:dyDescent="0.3">
      <c r="B2603"/>
    </row>
    <row r="2604" spans="2:2" x14ac:dyDescent="0.3">
      <c r="B2604"/>
    </row>
    <row r="2605" spans="2:2" x14ac:dyDescent="0.3">
      <c r="B2605"/>
    </row>
    <row r="2606" spans="2:2" x14ac:dyDescent="0.3">
      <c r="B2606"/>
    </row>
    <row r="2607" spans="2:2" x14ac:dyDescent="0.3">
      <c r="B2607"/>
    </row>
    <row r="2608" spans="2:2" x14ac:dyDescent="0.3">
      <c r="B2608"/>
    </row>
    <row r="2609" spans="2:2" x14ac:dyDescent="0.3">
      <c r="B2609"/>
    </row>
    <row r="2610" spans="2:2" x14ac:dyDescent="0.3">
      <c r="B2610"/>
    </row>
    <row r="2611" spans="2:2" x14ac:dyDescent="0.3">
      <c r="B2611"/>
    </row>
    <row r="2612" spans="2:2" x14ac:dyDescent="0.3">
      <c r="B2612"/>
    </row>
    <row r="2613" spans="2:2" x14ac:dyDescent="0.3">
      <c r="B2613"/>
    </row>
    <row r="2614" spans="2:2" x14ac:dyDescent="0.3">
      <c r="B2614"/>
    </row>
    <row r="2615" spans="2:2" x14ac:dyDescent="0.3">
      <c r="B2615"/>
    </row>
    <row r="2616" spans="2:2" x14ac:dyDescent="0.3">
      <c r="B2616"/>
    </row>
    <row r="2617" spans="2:2" x14ac:dyDescent="0.3">
      <c r="B2617"/>
    </row>
    <row r="2618" spans="2:2" x14ac:dyDescent="0.3">
      <c r="B2618"/>
    </row>
    <row r="2619" spans="2:2" x14ac:dyDescent="0.3">
      <c r="B2619"/>
    </row>
    <row r="2620" spans="2:2" x14ac:dyDescent="0.3">
      <c r="B2620"/>
    </row>
    <row r="2621" spans="2:2" x14ac:dyDescent="0.3">
      <c r="B2621"/>
    </row>
    <row r="2622" spans="2:2" x14ac:dyDescent="0.3">
      <c r="B2622"/>
    </row>
    <row r="2623" spans="2:2" x14ac:dyDescent="0.3">
      <c r="B2623"/>
    </row>
    <row r="2624" spans="2:2" x14ac:dyDescent="0.3">
      <c r="B2624"/>
    </row>
    <row r="2625" spans="2:2" x14ac:dyDescent="0.3">
      <c r="B2625"/>
    </row>
    <row r="2626" spans="2:2" x14ac:dyDescent="0.3">
      <c r="B2626"/>
    </row>
    <row r="2627" spans="2:2" x14ac:dyDescent="0.3">
      <c r="B2627"/>
    </row>
    <row r="2628" spans="2:2" x14ac:dyDescent="0.3">
      <c r="B2628"/>
    </row>
    <row r="2629" spans="2:2" x14ac:dyDescent="0.3">
      <c r="B2629"/>
    </row>
    <row r="2630" spans="2:2" x14ac:dyDescent="0.3">
      <c r="B2630"/>
    </row>
    <row r="2631" spans="2:2" x14ac:dyDescent="0.3">
      <c r="B2631"/>
    </row>
    <row r="2632" spans="2:2" x14ac:dyDescent="0.3">
      <c r="B2632"/>
    </row>
    <row r="2633" spans="2:2" x14ac:dyDescent="0.3">
      <c r="B2633"/>
    </row>
    <row r="2634" spans="2:2" x14ac:dyDescent="0.3">
      <c r="B2634"/>
    </row>
    <row r="2635" spans="2:2" x14ac:dyDescent="0.3">
      <c r="B2635"/>
    </row>
    <row r="2636" spans="2:2" x14ac:dyDescent="0.3">
      <c r="B2636"/>
    </row>
    <row r="2637" spans="2:2" x14ac:dyDescent="0.3">
      <c r="B2637"/>
    </row>
    <row r="2638" spans="2:2" x14ac:dyDescent="0.3">
      <c r="B2638"/>
    </row>
    <row r="2639" spans="2:2" x14ac:dyDescent="0.3">
      <c r="B2639"/>
    </row>
    <row r="2640" spans="2:2" x14ac:dyDescent="0.3">
      <c r="B2640"/>
    </row>
    <row r="2641" spans="2:2" x14ac:dyDescent="0.3">
      <c r="B2641"/>
    </row>
    <row r="2642" spans="2:2" x14ac:dyDescent="0.3">
      <c r="B2642"/>
    </row>
    <row r="2643" spans="2:2" x14ac:dyDescent="0.3">
      <c r="B2643"/>
    </row>
    <row r="2644" spans="2:2" x14ac:dyDescent="0.3">
      <c r="B2644"/>
    </row>
    <row r="2645" spans="2:2" x14ac:dyDescent="0.3">
      <c r="B2645"/>
    </row>
    <row r="2646" spans="2:2" x14ac:dyDescent="0.3">
      <c r="B2646"/>
    </row>
    <row r="2647" spans="2:2" x14ac:dyDescent="0.3">
      <c r="B2647"/>
    </row>
    <row r="2648" spans="2:2" x14ac:dyDescent="0.3">
      <c r="B2648"/>
    </row>
    <row r="2649" spans="2:2" x14ac:dyDescent="0.3">
      <c r="B2649"/>
    </row>
    <row r="2650" spans="2:2" x14ac:dyDescent="0.3">
      <c r="B2650"/>
    </row>
    <row r="2651" spans="2:2" x14ac:dyDescent="0.3">
      <c r="B2651"/>
    </row>
    <row r="2652" spans="2:2" x14ac:dyDescent="0.3">
      <c r="B2652"/>
    </row>
    <row r="2653" spans="2:2" x14ac:dyDescent="0.3">
      <c r="B2653"/>
    </row>
    <row r="2654" spans="2:2" x14ac:dyDescent="0.3">
      <c r="B2654"/>
    </row>
    <row r="2655" spans="2:2" x14ac:dyDescent="0.3">
      <c r="B2655"/>
    </row>
    <row r="2656" spans="2:2" x14ac:dyDescent="0.3">
      <c r="B2656"/>
    </row>
    <row r="2657" spans="2:2" x14ac:dyDescent="0.3">
      <c r="B2657"/>
    </row>
    <row r="2658" spans="2:2" x14ac:dyDescent="0.3">
      <c r="B2658"/>
    </row>
    <row r="2659" spans="2:2" x14ac:dyDescent="0.3">
      <c r="B2659"/>
    </row>
    <row r="2660" spans="2:2" x14ac:dyDescent="0.3">
      <c r="B2660"/>
    </row>
    <row r="2661" spans="2:2" x14ac:dyDescent="0.3">
      <c r="B2661"/>
    </row>
    <row r="2662" spans="2:2" x14ac:dyDescent="0.3">
      <c r="B2662"/>
    </row>
    <row r="2663" spans="2:2" x14ac:dyDescent="0.3">
      <c r="B2663"/>
    </row>
    <row r="2664" spans="2:2" x14ac:dyDescent="0.3">
      <c r="B2664"/>
    </row>
    <row r="2665" spans="2:2" x14ac:dyDescent="0.3">
      <c r="B2665"/>
    </row>
    <row r="2666" spans="2:2" x14ac:dyDescent="0.3">
      <c r="B2666"/>
    </row>
    <row r="2667" spans="2:2" x14ac:dyDescent="0.3">
      <c r="B2667"/>
    </row>
    <row r="2668" spans="2:2" x14ac:dyDescent="0.3">
      <c r="B2668"/>
    </row>
    <row r="2669" spans="2:2" x14ac:dyDescent="0.3">
      <c r="B2669"/>
    </row>
    <row r="2670" spans="2:2" x14ac:dyDescent="0.3">
      <c r="B2670"/>
    </row>
    <row r="2671" spans="2:2" x14ac:dyDescent="0.3">
      <c r="B2671"/>
    </row>
    <row r="2672" spans="2:2" x14ac:dyDescent="0.3">
      <c r="B2672"/>
    </row>
    <row r="2673" spans="2:2" x14ac:dyDescent="0.3">
      <c r="B2673"/>
    </row>
    <row r="2674" spans="2:2" x14ac:dyDescent="0.3">
      <c r="B2674"/>
    </row>
    <row r="2675" spans="2:2" x14ac:dyDescent="0.3">
      <c r="B2675"/>
    </row>
    <row r="2676" spans="2:2" x14ac:dyDescent="0.3">
      <c r="B2676"/>
    </row>
    <row r="2677" spans="2:2" x14ac:dyDescent="0.3">
      <c r="B2677"/>
    </row>
    <row r="2678" spans="2:2" x14ac:dyDescent="0.3">
      <c r="B2678"/>
    </row>
    <row r="2679" spans="2:2" x14ac:dyDescent="0.3">
      <c r="B2679"/>
    </row>
    <row r="2680" spans="2:2" x14ac:dyDescent="0.3">
      <c r="B2680"/>
    </row>
    <row r="2681" spans="2:2" x14ac:dyDescent="0.3">
      <c r="B2681"/>
    </row>
    <row r="2682" spans="2:2" x14ac:dyDescent="0.3">
      <c r="B2682"/>
    </row>
    <row r="2683" spans="2:2" x14ac:dyDescent="0.3">
      <c r="B2683"/>
    </row>
    <row r="2684" spans="2:2" x14ac:dyDescent="0.3">
      <c r="B2684"/>
    </row>
    <row r="2685" spans="2:2" x14ac:dyDescent="0.3">
      <c r="B2685"/>
    </row>
    <row r="2686" spans="2:2" x14ac:dyDescent="0.3">
      <c r="B2686"/>
    </row>
    <row r="2687" spans="2:2" x14ac:dyDescent="0.3">
      <c r="B2687"/>
    </row>
    <row r="2688" spans="2:2" x14ac:dyDescent="0.3">
      <c r="B2688"/>
    </row>
    <row r="2689" spans="2:2" x14ac:dyDescent="0.3">
      <c r="B2689"/>
    </row>
    <row r="2690" spans="2:2" x14ac:dyDescent="0.3">
      <c r="B2690"/>
    </row>
    <row r="2691" spans="2:2" x14ac:dyDescent="0.3">
      <c r="B2691"/>
    </row>
    <row r="2692" spans="2:2" x14ac:dyDescent="0.3">
      <c r="B2692"/>
    </row>
    <row r="2693" spans="2:2" x14ac:dyDescent="0.3">
      <c r="B2693"/>
    </row>
    <row r="2694" spans="2:2" x14ac:dyDescent="0.3">
      <c r="B2694"/>
    </row>
    <row r="2695" spans="2:2" x14ac:dyDescent="0.3">
      <c r="B2695"/>
    </row>
    <row r="2696" spans="2:2" x14ac:dyDescent="0.3">
      <c r="B2696"/>
    </row>
    <row r="2697" spans="2:2" x14ac:dyDescent="0.3">
      <c r="B2697"/>
    </row>
    <row r="2698" spans="2:2" x14ac:dyDescent="0.3">
      <c r="B2698"/>
    </row>
    <row r="2699" spans="2:2" x14ac:dyDescent="0.3">
      <c r="B2699"/>
    </row>
    <row r="2700" spans="2:2" x14ac:dyDescent="0.3">
      <c r="B2700"/>
    </row>
    <row r="2701" spans="2:2" x14ac:dyDescent="0.3">
      <c r="B2701"/>
    </row>
    <row r="2702" spans="2:2" x14ac:dyDescent="0.3">
      <c r="B2702"/>
    </row>
    <row r="2703" spans="2:2" x14ac:dyDescent="0.3">
      <c r="B2703"/>
    </row>
    <row r="2704" spans="2:2" x14ac:dyDescent="0.3">
      <c r="B2704"/>
    </row>
    <row r="2705" spans="2:2" x14ac:dyDescent="0.3">
      <c r="B2705"/>
    </row>
    <row r="2706" spans="2:2" x14ac:dyDescent="0.3">
      <c r="B2706"/>
    </row>
    <row r="2707" spans="2:2" x14ac:dyDescent="0.3">
      <c r="B2707"/>
    </row>
    <row r="2708" spans="2:2" x14ac:dyDescent="0.3">
      <c r="B2708"/>
    </row>
    <row r="2709" spans="2:2" x14ac:dyDescent="0.3">
      <c r="B2709"/>
    </row>
    <row r="2710" spans="2:2" x14ac:dyDescent="0.3">
      <c r="B2710"/>
    </row>
    <row r="2711" spans="2:2" x14ac:dyDescent="0.3">
      <c r="B2711"/>
    </row>
    <row r="2712" spans="2:2" x14ac:dyDescent="0.3">
      <c r="B2712"/>
    </row>
    <row r="2713" spans="2:2" x14ac:dyDescent="0.3">
      <c r="B2713"/>
    </row>
    <row r="2714" spans="2:2" x14ac:dyDescent="0.3">
      <c r="B2714"/>
    </row>
    <row r="2715" spans="2:2" x14ac:dyDescent="0.3">
      <c r="B2715"/>
    </row>
    <row r="2716" spans="2:2" x14ac:dyDescent="0.3">
      <c r="B2716"/>
    </row>
    <row r="2717" spans="2:2" x14ac:dyDescent="0.3">
      <c r="B2717"/>
    </row>
    <row r="2718" spans="2:2" x14ac:dyDescent="0.3">
      <c r="B2718"/>
    </row>
    <row r="2719" spans="2:2" x14ac:dyDescent="0.3">
      <c r="B2719"/>
    </row>
    <row r="2720" spans="2:2" x14ac:dyDescent="0.3">
      <c r="B2720"/>
    </row>
    <row r="2721" spans="2:2" x14ac:dyDescent="0.3">
      <c r="B2721"/>
    </row>
    <row r="2722" spans="2:2" x14ac:dyDescent="0.3">
      <c r="B2722"/>
    </row>
    <row r="2723" spans="2:2" x14ac:dyDescent="0.3">
      <c r="B2723"/>
    </row>
    <row r="2724" spans="2:2" x14ac:dyDescent="0.3">
      <c r="B2724"/>
    </row>
    <row r="2725" spans="2:2" x14ac:dyDescent="0.3">
      <c r="B2725"/>
    </row>
    <row r="2726" spans="2:2" x14ac:dyDescent="0.3">
      <c r="B2726"/>
    </row>
    <row r="2727" spans="2:2" x14ac:dyDescent="0.3">
      <c r="B2727"/>
    </row>
    <row r="2728" spans="2:2" x14ac:dyDescent="0.3">
      <c r="B2728"/>
    </row>
    <row r="2729" spans="2:2" x14ac:dyDescent="0.3">
      <c r="B2729"/>
    </row>
    <row r="2730" spans="2:2" x14ac:dyDescent="0.3">
      <c r="B2730"/>
    </row>
    <row r="2731" spans="2:2" x14ac:dyDescent="0.3">
      <c r="B2731"/>
    </row>
    <row r="2732" spans="2:2" x14ac:dyDescent="0.3">
      <c r="B2732"/>
    </row>
    <row r="2733" spans="2:2" x14ac:dyDescent="0.3">
      <c r="B2733"/>
    </row>
    <row r="2734" spans="2:2" x14ac:dyDescent="0.3">
      <c r="B2734"/>
    </row>
    <row r="2735" spans="2:2" x14ac:dyDescent="0.3">
      <c r="B2735"/>
    </row>
    <row r="2736" spans="2:2" x14ac:dyDescent="0.3">
      <c r="B2736"/>
    </row>
    <row r="2737" spans="2:2" x14ac:dyDescent="0.3">
      <c r="B2737"/>
    </row>
    <row r="2738" spans="2:2" x14ac:dyDescent="0.3">
      <c r="B2738"/>
    </row>
    <row r="2739" spans="2:2" x14ac:dyDescent="0.3">
      <c r="B2739"/>
    </row>
    <row r="2740" spans="2:2" x14ac:dyDescent="0.3">
      <c r="B2740"/>
    </row>
    <row r="2741" spans="2:2" x14ac:dyDescent="0.3">
      <c r="B2741"/>
    </row>
    <row r="2742" spans="2:2" x14ac:dyDescent="0.3">
      <c r="B2742"/>
    </row>
    <row r="2743" spans="2:2" x14ac:dyDescent="0.3">
      <c r="B2743"/>
    </row>
    <row r="2744" spans="2:2" x14ac:dyDescent="0.3">
      <c r="B2744"/>
    </row>
    <row r="2745" spans="2:2" x14ac:dyDescent="0.3">
      <c r="B2745"/>
    </row>
    <row r="2746" spans="2:2" x14ac:dyDescent="0.3">
      <c r="B2746"/>
    </row>
    <row r="2747" spans="2:2" x14ac:dyDescent="0.3">
      <c r="B2747"/>
    </row>
    <row r="2748" spans="2:2" x14ac:dyDescent="0.3">
      <c r="B2748"/>
    </row>
    <row r="2749" spans="2:2" x14ac:dyDescent="0.3">
      <c r="B2749"/>
    </row>
    <row r="2750" spans="2:2" x14ac:dyDescent="0.3">
      <c r="B2750"/>
    </row>
    <row r="2751" spans="2:2" x14ac:dyDescent="0.3">
      <c r="B2751"/>
    </row>
    <row r="2752" spans="2:2" x14ac:dyDescent="0.3">
      <c r="B2752"/>
    </row>
    <row r="2753" spans="2:2" x14ac:dyDescent="0.3">
      <c r="B2753"/>
    </row>
    <row r="2754" spans="2:2" x14ac:dyDescent="0.3">
      <c r="B2754"/>
    </row>
    <row r="2755" spans="2:2" x14ac:dyDescent="0.3">
      <c r="B2755"/>
    </row>
    <row r="2756" spans="2:2" x14ac:dyDescent="0.3">
      <c r="B2756"/>
    </row>
    <row r="2757" spans="2:2" x14ac:dyDescent="0.3">
      <c r="B2757"/>
    </row>
    <row r="2758" spans="2:2" x14ac:dyDescent="0.3">
      <c r="B2758"/>
    </row>
    <row r="2759" spans="2:2" x14ac:dyDescent="0.3">
      <c r="B2759"/>
    </row>
    <row r="2760" spans="2:2" x14ac:dyDescent="0.3">
      <c r="B2760"/>
    </row>
    <row r="2761" spans="2:2" x14ac:dyDescent="0.3">
      <c r="B2761"/>
    </row>
    <row r="2762" spans="2:2" x14ac:dyDescent="0.3">
      <c r="B2762"/>
    </row>
    <row r="2763" spans="2:2" x14ac:dyDescent="0.3">
      <c r="B2763"/>
    </row>
    <row r="2764" spans="2:2" x14ac:dyDescent="0.3">
      <c r="B2764"/>
    </row>
    <row r="2765" spans="2:2" x14ac:dyDescent="0.3">
      <c r="B2765"/>
    </row>
    <row r="2766" spans="2:2" x14ac:dyDescent="0.3">
      <c r="B2766"/>
    </row>
    <row r="2767" spans="2:2" x14ac:dyDescent="0.3">
      <c r="B2767"/>
    </row>
    <row r="2768" spans="2:2" x14ac:dyDescent="0.3">
      <c r="B2768"/>
    </row>
    <row r="2769" spans="2:2" x14ac:dyDescent="0.3">
      <c r="B2769"/>
    </row>
    <row r="2770" spans="2:2" x14ac:dyDescent="0.3">
      <c r="B2770"/>
    </row>
    <row r="2771" spans="2:2" x14ac:dyDescent="0.3">
      <c r="B2771"/>
    </row>
    <row r="2772" spans="2:2" x14ac:dyDescent="0.3">
      <c r="B2772"/>
    </row>
    <row r="2773" spans="2:2" x14ac:dyDescent="0.3">
      <c r="B2773"/>
    </row>
    <row r="2774" spans="2:2" x14ac:dyDescent="0.3">
      <c r="B2774"/>
    </row>
    <row r="2775" spans="2:2" x14ac:dyDescent="0.3">
      <c r="B2775"/>
    </row>
    <row r="2776" spans="2:2" x14ac:dyDescent="0.3">
      <c r="B2776"/>
    </row>
    <row r="2777" spans="2:2" x14ac:dyDescent="0.3">
      <c r="B2777"/>
    </row>
    <row r="2778" spans="2:2" x14ac:dyDescent="0.3">
      <c r="B2778"/>
    </row>
    <row r="2779" spans="2:2" x14ac:dyDescent="0.3">
      <c r="B2779"/>
    </row>
    <row r="2780" spans="2:2" x14ac:dyDescent="0.3">
      <c r="B2780"/>
    </row>
    <row r="2781" spans="2:2" x14ac:dyDescent="0.3">
      <c r="B2781"/>
    </row>
    <row r="2782" spans="2:2" x14ac:dyDescent="0.3">
      <c r="B2782"/>
    </row>
    <row r="2783" spans="2:2" x14ac:dyDescent="0.3">
      <c r="B2783"/>
    </row>
    <row r="2784" spans="2:2" x14ac:dyDescent="0.3">
      <c r="B2784"/>
    </row>
    <row r="2785" spans="2:2" x14ac:dyDescent="0.3">
      <c r="B2785"/>
    </row>
    <row r="2786" spans="2:2" x14ac:dyDescent="0.3">
      <c r="B2786"/>
    </row>
    <row r="2787" spans="2:2" x14ac:dyDescent="0.3">
      <c r="B2787"/>
    </row>
    <row r="2788" spans="2:2" x14ac:dyDescent="0.3">
      <c r="B2788"/>
    </row>
    <row r="2789" spans="2:2" x14ac:dyDescent="0.3">
      <c r="B2789"/>
    </row>
    <row r="2790" spans="2:2" x14ac:dyDescent="0.3">
      <c r="B2790"/>
    </row>
    <row r="2791" spans="2:2" x14ac:dyDescent="0.3">
      <c r="B2791"/>
    </row>
    <row r="2792" spans="2:2" x14ac:dyDescent="0.3">
      <c r="B2792"/>
    </row>
    <row r="2793" spans="2:2" x14ac:dyDescent="0.3">
      <c r="B2793"/>
    </row>
    <row r="2794" spans="2:2" x14ac:dyDescent="0.3">
      <c r="B2794"/>
    </row>
    <row r="2795" spans="2:2" x14ac:dyDescent="0.3">
      <c r="B2795"/>
    </row>
    <row r="2796" spans="2:2" x14ac:dyDescent="0.3">
      <c r="B2796"/>
    </row>
    <row r="2797" spans="2:2" x14ac:dyDescent="0.3">
      <c r="B2797"/>
    </row>
    <row r="2798" spans="2:2" x14ac:dyDescent="0.3">
      <c r="B2798"/>
    </row>
    <row r="2799" spans="2:2" x14ac:dyDescent="0.3">
      <c r="B2799"/>
    </row>
    <row r="2800" spans="2:2" x14ac:dyDescent="0.3">
      <c r="B2800"/>
    </row>
    <row r="2801" spans="2:2" x14ac:dyDescent="0.3">
      <c r="B2801"/>
    </row>
    <row r="2802" spans="2:2" x14ac:dyDescent="0.3">
      <c r="B2802"/>
    </row>
    <row r="2803" spans="2:2" x14ac:dyDescent="0.3">
      <c r="B2803"/>
    </row>
    <row r="2804" spans="2:2" x14ac:dyDescent="0.3">
      <c r="B2804"/>
    </row>
    <row r="2805" spans="2:2" x14ac:dyDescent="0.3">
      <c r="B2805"/>
    </row>
    <row r="2806" spans="2:2" x14ac:dyDescent="0.3">
      <c r="B2806"/>
    </row>
    <row r="2807" spans="2:2" x14ac:dyDescent="0.3">
      <c r="B2807"/>
    </row>
    <row r="2808" spans="2:2" x14ac:dyDescent="0.3">
      <c r="B2808"/>
    </row>
    <row r="2809" spans="2:2" x14ac:dyDescent="0.3">
      <c r="B2809"/>
    </row>
    <row r="2810" spans="2:2" x14ac:dyDescent="0.3">
      <c r="B2810"/>
    </row>
    <row r="2811" spans="2:2" x14ac:dyDescent="0.3">
      <c r="B2811"/>
    </row>
    <row r="2812" spans="2:2" x14ac:dyDescent="0.3">
      <c r="B2812"/>
    </row>
    <row r="2813" spans="2:2" x14ac:dyDescent="0.3">
      <c r="B2813"/>
    </row>
    <row r="2814" spans="2:2" x14ac:dyDescent="0.3">
      <c r="B2814"/>
    </row>
    <row r="2815" spans="2:2" x14ac:dyDescent="0.3">
      <c r="B2815"/>
    </row>
    <row r="2816" spans="2:2" x14ac:dyDescent="0.3">
      <c r="B2816"/>
    </row>
    <row r="2817" spans="2:2" x14ac:dyDescent="0.3">
      <c r="B2817"/>
    </row>
    <row r="2818" spans="2:2" x14ac:dyDescent="0.3">
      <c r="B2818"/>
    </row>
    <row r="2819" spans="2:2" x14ac:dyDescent="0.3">
      <c r="B2819"/>
    </row>
    <row r="2820" spans="2:2" x14ac:dyDescent="0.3">
      <c r="B2820"/>
    </row>
    <row r="2821" spans="2:2" x14ac:dyDescent="0.3">
      <c r="B2821"/>
    </row>
    <row r="2822" spans="2:2" x14ac:dyDescent="0.3">
      <c r="B2822"/>
    </row>
    <row r="2823" spans="2:2" x14ac:dyDescent="0.3">
      <c r="B2823"/>
    </row>
    <row r="2824" spans="2:2" x14ac:dyDescent="0.3">
      <c r="B2824"/>
    </row>
    <row r="2825" spans="2:2" x14ac:dyDescent="0.3">
      <c r="B2825"/>
    </row>
    <row r="2826" spans="2:2" x14ac:dyDescent="0.3">
      <c r="B2826"/>
    </row>
    <row r="2827" spans="2:2" x14ac:dyDescent="0.3">
      <c r="B2827"/>
    </row>
    <row r="2828" spans="2:2" x14ac:dyDescent="0.3">
      <c r="B2828"/>
    </row>
    <row r="2829" spans="2:2" x14ac:dyDescent="0.3">
      <c r="B2829"/>
    </row>
    <row r="2830" spans="2:2" x14ac:dyDescent="0.3">
      <c r="B2830"/>
    </row>
    <row r="2831" spans="2:2" x14ac:dyDescent="0.3">
      <c r="B2831"/>
    </row>
    <row r="2832" spans="2:2" x14ac:dyDescent="0.3">
      <c r="B2832"/>
    </row>
    <row r="2833" spans="2:2" x14ac:dyDescent="0.3">
      <c r="B2833"/>
    </row>
    <row r="2834" spans="2:2" x14ac:dyDescent="0.3">
      <c r="B2834"/>
    </row>
    <row r="2835" spans="2:2" x14ac:dyDescent="0.3">
      <c r="B2835"/>
    </row>
    <row r="2836" spans="2:2" x14ac:dyDescent="0.3">
      <c r="B2836"/>
    </row>
    <row r="2837" spans="2:2" x14ac:dyDescent="0.3">
      <c r="B2837"/>
    </row>
    <row r="2838" spans="2:2" x14ac:dyDescent="0.3">
      <c r="B2838"/>
    </row>
    <row r="2839" spans="2:2" x14ac:dyDescent="0.3">
      <c r="B2839"/>
    </row>
    <row r="2840" spans="2:2" x14ac:dyDescent="0.3">
      <c r="B2840"/>
    </row>
    <row r="2841" spans="2:2" x14ac:dyDescent="0.3">
      <c r="B2841"/>
    </row>
    <row r="2842" spans="2:2" x14ac:dyDescent="0.3">
      <c r="B2842"/>
    </row>
    <row r="2843" spans="2:2" x14ac:dyDescent="0.3">
      <c r="B2843"/>
    </row>
    <row r="2844" spans="2:2" x14ac:dyDescent="0.3">
      <c r="B2844"/>
    </row>
    <row r="2845" spans="2:2" x14ac:dyDescent="0.3">
      <c r="B2845"/>
    </row>
    <row r="2846" spans="2:2" x14ac:dyDescent="0.3">
      <c r="B2846"/>
    </row>
    <row r="2847" spans="2:2" x14ac:dyDescent="0.3">
      <c r="B2847"/>
    </row>
    <row r="2848" spans="2:2" x14ac:dyDescent="0.3">
      <c r="B2848"/>
    </row>
    <row r="2849" spans="2:2" x14ac:dyDescent="0.3">
      <c r="B2849"/>
    </row>
    <row r="2850" spans="2:2" x14ac:dyDescent="0.3">
      <c r="B2850"/>
    </row>
    <row r="2851" spans="2:2" x14ac:dyDescent="0.3">
      <c r="B2851"/>
    </row>
    <row r="2852" spans="2:2" x14ac:dyDescent="0.3">
      <c r="B2852"/>
    </row>
    <row r="2853" spans="2:2" x14ac:dyDescent="0.3">
      <c r="B2853"/>
    </row>
    <row r="2854" spans="2:2" x14ac:dyDescent="0.3">
      <c r="B2854"/>
    </row>
    <row r="2855" spans="2:2" x14ac:dyDescent="0.3">
      <c r="B2855"/>
    </row>
    <row r="2856" spans="2:2" x14ac:dyDescent="0.3">
      <c r="B2856"/>
    </row>
    <row r="2857" spans="2:2" x14ac:dyDescent="0.3">
      <c r="B2857"/>
    </row>
    <row r="2858" spans="2:2" x14ac:dyDescent="0.3">
      <c r="B2858"/>
    </row>
    <row r="2859" spans="2:2" x14ac:dyDescent="0.3">
      <c r="B2859"/>
    </row>
    <row r="2860" spans="2:2" x14ac:dyDescent="0.3">
      <c r="B2860"/>
    </row>
    <row r="2861" spans="2:2" x14ac:dyDescent="0.3">
      <c r="B2861"/>
    </row>
    <row r="2862" spans="2:2" x14ac:dyDescent="0.3">
      <c r="B2862"/>
    </row>
    <row r="2863" spans="2:2" x14ac:dyDescent="0.3">
      <c r="B2863"/>
    </row>
    <row r="2864" spans="2:2" x14ac:dyDescent="0.3">
      <c r="B2864"/>
    </row>
    <row r="2865" spans="2:2" x14ac:dyDescent="0.3">
      <c r="B2865"/>
    </row>
    <row r="2866" spans="2:2" x14ac:dyDescent="0.3">
      <c r="B2866"/>
    </row>
    <row r="2867" spans="2:2" x14ac:dyDescent="0.3">
      <c r="B2867"/>
    </row>
    <row r="2868" spans="2:2" x14ac:dyDescent="0.3">
      <c r="B2868"/>
    </row>
    <row r="2869" spans="2:2" x14ac:dyDescent="0.3">
      <c r="B2869"/>
    </row>
    <row r="2870" spans="2:2" x14ac:dyDescent="0.3">
      <c r="B2870"/>
    </row>
    <row r="2871" spans="2:2" x14ac:dyDescent="0.3">
      <c r="B2871"/>
    </row>
    <row r="2872" spans="2:2" x14ac:dyDescent="0.3">
      <c r="B2872"/>
    </row>
    <row r="2873" spans="2:2" x14ac:dyDescent="0.3">
      <c r="B2873"/>
    </row>
    <row r="2874" spans="2:2" x14ac:dyDescent="0.3">
      <c r="B2874"/>
    </row>
    <row r="2875" spans="2:2" x14ac:dyDescent="0.3">
      <c r="B2875"/>
    </row>
    <row r="2876" spans="2:2" x14ac:dyDescent="0.3">
      <c r="B2876"/>
    </row>
    <row r="2877" spans="2:2" x14ac:dyDescent="0.3">
      <c r="B2877"/>
    </row>
    <row r="2878" spans="2:2" x14ac:dyDescent="0.3">
      <c r="B2878"/>
    </row>
    <row r="2879" spans="2:2" x14ac:dyDescent="0.3">
      <c r="B2879"/>
    </row>
    <row r="2880" spans="2:2" x14ac:dyDescent="0.3">
      <c r="B2880"/>
    </row>
    <row r="2881" spans="2:2" x14ac:dyDescent="0.3">
      <c r="B2881"/>
    </row>
    <row r="2882" spans="2:2" x14ac:dyDescent="0.3">
      <c r="B2882"/>
    </row>
    <row r="2883" spans="2:2" x14ac:dyDescent="0.3">
      <c r="B2883"/>
    </row>
    <row r="2884" spans="2:2" x14ac:dyDescent="0.3">
      <c r="B2884"/>
    </row>
    <row r="2885" spans="2:2" x14ac:dyDescent="0.3">
      <c r="B2885"/>
    </row>
    <row r="2886" spans="2:2" x14ac:dyDescent="0.3">
      <c r="B2886"/>
    </row>
    <row r="2887" spans="2:2" x14ac:dyDescent="0.3">
      <c r="B2887"/>
    </row>
    <row r="2888" spans="2:2" x14ac:dyDescent="0.3">
      <c r="B2888"/>
    </row>
    <row r="2889" spans="2:2" x14ac:dyDescent="0.3">
      <c r="B2889"/>
    </row>
    <row r="2890" spans="2:2" x14ac:dyDescent="0.3">
      <c r="B2890"/>
    </row>
    <row r="2891" spans="2:2" x14ac:dyDescent="0.3">
      <c r="B2891"/>
    </row>
    <row r="2892" spans="2:2" x14ac:dyDescent="0.3">
      <c r="B2892"/>
    </row>
    <row r="2893" spans="2:2" x14ac:dyDescent="0.3">
      <c r="B2893"/>
    </row>
    <row r="2894" spans="2:2" x14ac:dyDescent="0.3">
      <c r="B2894"/>
    </row>
    <row r="2895" spans="2:2" x14ac:dyDescent="0.3">
      <c r="B2895"/>
    </row>
    <row r="2896" spans="2:2" x14ac:dyDescent="0.3">
      <c r="B2896"/>
    </row>
    <row r="2897" spans="2:2" x14ac:dyDescent="0.3">
      <c r="B2897"/>
    </row>
    <row r="2898" spans="2:2" x14ac:dyDescent="0.3">
      <c r="B2898"/>
    </row>
    <row r="2899" spans="2:2" x14ac:dyDescent="0.3">
      <c r="B2899"/>
    </row>
    <row r="2900" spans="2:2" x14ac:dyDescent="0.3">
      <c r="B2900"/>
    </row>
    <row r="2901" spans="2:2" x14ac:dyDescent="0.3">
      <c r="B2901"/>
    </row>
    <row r="2902" spans="2:2" x14ac:dyDescent="0.3">
      <c r="B2902"/>
    </row>
    <row r="2903" spans="2:2" x14ac:dyDescent="0.3">
      <c r="B2903"/>
    </row>
    <row r="2904" spans="2:2" x14ac:dyDescent="0.3">
      <c r="B2904"/>
    </row>
    <row r="2905" spans="2:2" x14ac:dyDescent="0.3">
      <c r="B2905"/>
    </row>
    <row r="2906" spans="2:2" x14ac:dyDescent="0.3">
      <c r="B2906"/>
    </row>
    <row r="2907" spans="2:2" x14ac:dyDescent="0.3">
      <c r="B2907"/>
    </row>
    <row r="2908" spans="2:2" x14ac:dyDescent="0.3">
      <c r="B2908"/>
    </row>
    <row r="2909" spans="2:2" x14ac:dyDescent="0.3">
      <c r="B2909"/>
    </row>
    <row r="2910" spans="2:2" x14ac:dyDescent="0.3">
      <c r="B2910"/>
    </row>
    <row r="2911" spans="2:2" x14ac:dyDescent="0.3">
      <c r="B2911"/>
    </row>
    <row r="2912" spans="2:2" x14ac:dyDescent="0.3">
      <c r="B2912"/>
    </row>
    <row r="2913" spans="2:2" x14ac:dyDescent="0.3">
      <c r="B2913"/>
    </row>
    <row r="2914" spans="2:2" x14ac:dyDescent="0.3">
      <c r="B2914"/>
    </row>
    <row r="2915" spans="2:2" x14ac:dyDescent="0.3">
      <c r="B2915"/>
    </row>
    <row r="2916" spans="2:2" x14ac:dyDescent="0.3">
      <c r="B2916"/>
    </row>
    <row r="2917" spans="2:2" x14ac:dyDescent="0.3">
      <c r="B2917"/>
    </row>
    <row r="2918" spans="2:2" x14ac:dyDescent="0.3">
      <c r="B2918"/>
    </row>
    <row r="2919" spans="2:2" x14ac:dyDescent="0.3">
      <c r="B2919"/>
    </row>
    <row r="2920" spans="2:2" x14ac:dyDescent="0.3">
      <c r="B2920"/>
    </row>
    <row r="2921" spans="2:2" x14ac:dyDescent="0.3">
      <c r="B2921"/>
    </row>
    <row r="2922" spans="2:2" x14ac:dyDescent="0.3">
      <c r="B2922"/>
    </row>
    <row r="2923" spans="2:2" x14ac:dyDescent="0.3">
      <c r="B2923"/>
    </row>
    <row r="2924" spans="2:2" x14ac:dyDescent="0.3">
      <c r="B2924"/>
    </row>
    <row r="2925" spans="2:2" x14ac:dyDescent="0.3">
      <c r="B2925"/>
    </row>
    <row r="2926" spans="2:2" x14ac:dyDescent="0.3">
      <c r="B2926"/>
    </row>
    <row r="2927" spans="2:2" x14ac:dyDescent="0.3">
      <c r="B2927"/>
    </row>
    <row r="2928" spans="2:2" x14ac:dyDescent="0.3">
      <c r="B2928"/>
    </row>
    <row r="2929" spans="2:2" x14ac:dyDescent="0.3">
      <c r="B2929"/>
    </row>
    <row r="2930" spans="2:2" x14ac:dyDescent="0.3">
      <c r="B2930"/>
    </row>
    <row r="2931" spans="2:2" x14ac:dyDescent="0.3">
      <c r="B2931"/>
    </row>
    <row r="2932" spans="2:2" x14ac:dyDescent="0.3">
      <c r="B2932"/>
    </row>
    <row r="2933" spans="2:2" x14ac:dyDescent="0.3">
      <c r="B2933"/>
    </row>
    <row r="2934" spans="2:2" x14ac:dyDescent="0.3">
      <c r="B2934"/>
    </row>
    <row r="2935" spans="2:2" x14ac:dyDescent="0.3">
      <c r="B2935"/>
    </row>
    <row r="2936" spans="2:2" x14ac:dyDescent="0.3">
      <c r="B2936"/>
    </row>
    <row r="2937" spans="2:2" x14ac:dyDescent="0.3">
      <c r="B2937"/>
    </row>
    <row r="2938" spans="2:2" x14ac:dyDescent="0.3">
      <c r="B2938"/>
    </row>
    <row r="2939" spans="2:2" x14ac:dyDescent="0.3">
      <c r="B2939"/>
    </row>
    <row r="2940" spans="2:2" x14ac:dyDescent="0.3">
      <c r="B2940"/>
    </row>
    <row r="2941" spans="2:2" x14ac:dyDescent="0.3">
      <c r="B2941"/>
    </row>
    <row r="2942" spans="2:2" x14ac:dyDescent="0.3">
      <c r="B2942"/>
    </row>
    <row r="2943" spans="2:2" x14ac:dyDescent="0.3">
      <c r="B2943"/>
    </row>
    <row r="2944" spans="2:2" x14ac:dyDescent="0.3">
      <c r="B2944"/>
    </row>
    <row r="2945" spans="2:2" x14ac:dyDescent="0.3">
      <c r="B2945"/>
    </row>
    <row r="2946" spans="2:2" x14ac:dyDescent="0.3">
      <c r="B2946"/>
    </row>
    <row r="2947" spans="2:2" x14ac:dyDescent="0.3">
      <c r="B2947"/>
    </row>
    <row r="2948" spans="2:2" x14ac:dyDescent="0.3">
      <c r="B2948"/>
    </row>
    <row r="2949" spans="2:2" x14ac:dyDescent="0.3">
      <c r="B2949"/>
    </row>
    <row r="2950" spans="2:2" x14ac:dyDescent="0.3">
      <c r="B2950"/>
    </row>
    <row r="2951" spans="2:2" x14ac:dyDescent="0.3">
      <c r="B2951"/>
    </row>
    <row r="2952" spans="2:2" x14ac:dyDescent="0.3">
      <c r="B2952"/>
    </row>
    <row r="2953" spans="2:2" x14ac:dyDescent="0.3">
      <c r="B2953"/>
    </row>
    <row r="2954" spans="2:2" x14ac:dyDescent="0.3">
      <c r="B2954"/>
    </row>
    <row r="2955" spans="2:2" x14ac:dyDescent="0.3">
      <c r="B2955"/>
    </row>
    <row r="2956" spans="2:2" x14ac:dyDescent="0.3">
      <c r="B2956"/>
    </row>
    <row r="2957" spans="2:2" x14ac:dyDescent="0.3">
      <c r="B2957"/>
    </row>
    <row r="2958" spans="2:2" x14ac:dyDescent="0.3">
      <c r="B2958"/>
    </row>
    <row r="2959" spans="2:2" x14ac:dyDescent="0.3">
      <c r="B2959"/>
    </row>
    <row r="2960" spans="2:2" x14ac:dyDescent="0.3">
      <c r="B2960"/>
    </row>
    <row r="2961" spans="2:2" x14ac:dyDescent="0.3">
      <c r="B2961"/>
    </row>
    <row r="2962" spans="2:2" x14ac:dyDescent="0.3">
      <c r="B2962"/>
    </row>
    <row r="2963" spans="2:2" x14ac:dyDescent="0.3">
      <c r="B2963"/>
    </row>
    <row r="2964" spans="2:2" x14ac:dyDescent="0.3">
      <c r="B2964"/>
    </row>
    <row r="2965" spans="2:2" x14ac:dyDescent="0.3">
      <c r="B2965"/>
    </row>
    <row r="2966" spans="2:2" x14ac:dyDescent="0.3">
      <c r="B2966"/>
    </row>
    <row r="2967" spans="2:2" x14ac:dyDescent="0.3">
      <c r="B2967"/>
    </row>
    <row r="2968" spans="2:2" x14ac:dyDescent="0.3">
      <c r="B2968"/>
    </row>
    <row r="2969" spans="2:2" x14ac:dyDescent="0.3">
      <c r="B2969"/>
    </row>
    <row r="2970" spans="2:2" x14ac:dyDescent="0.3">
      <c r="B2970"/>
    </row>
    <row r="2971" spans="2:2" x14ac:dyDescent="0.3">
      <c r="B2971"/>
    </row>
    <row r="2972" spans="2:2" x14ac:dyDescent="0.3">
      <c r="B2972"/>
    </row>
    <row r="2973" spans="2:2" x14ac:dyDescent="0.3">
      <c r="B2973"/>
    </row>
    <row r="2974" spans="2:2" x14ac:dyDescent="0.3">
      <c r="B2974"/>
    </row>
    <row r="2975" spans="2:2" x14ac:dyDescent="0.3">
      <c r="B2975"/>
    </row>
    <row r="2976" spans="2:2" x14ac:dyDescent="0.3">
      <c r="B2976"/>
    </row>
    <row r="2977" spans="2:2" x14ac:dyDescent="0.3">
      <c r="B2977"/>
    </row>
    <row r="2978" spans="2:2" x14ac:dyDescent="0.3">
      <c r="B2978"/>
    </row>
    <row r="2979" spans="2:2" x14ac:dyDescent="0.3">
      <c r="B2979"/>
    </row>
    <row r="2980" spans="2:2" x14ac:dyDescent="0.3">
      <c r="B2980"/>
    </row>
    <row r="2981" spans="2:2" x14ac:dyDescent="0.3">
      <c r="B2981"/>
    </row>
    <row r="2982" spans="2:2" x14ac:dyDescent="0.3">
      <c r="B2982"/>
    </row>
    <row r="2983" spans="2:2" x14ac:dyDescent="0.3">
      <c r="B2983"/>
    </row>
    <row r="2984" spans="2:2" x14ac:dyDescent="0.3">
      <c r="B2984"/>
    </row>
    <row r="2985" spans="2:2" x14ac:dyDescent="0.3">
      <c r="B2985"/>
    </row>
    <row r="2986" spans="2:2" x14ac:dyDescent="0.3">
      <c r="B2986"/>
    </row>
    <row r="2987" spans="2:2" x14ac:dyDescent="0.3">
      <c r="B2987"/>
    </row>
    <row r="2988" spans="2:2" x14ac:dyDescent="0.3">
      <c r="B2988"/>
    </row>
    <row r="2989" spans="2:2" x14ac:dyDescent="0.3">
      <c r="B2989"/>
    </row>
    <row r="2990" spans="2:2" x14ac:dyDescent="0.3">
      <c r="B2990"/>
    </row>
    <row r="2991" spans="2:2" x14ac:dyDescent="0.3">
      <c r="B2991"/>
    </row>
    <row r="2992" spans="2:2" x14ac:dyDescent="0.3">
      <c r="B2992"/>
    </row>
    <row r="2993" spans="2:2" x14ac:dyDescent="0.3">
      <c r="B2993"/>
    </row>
    <row r="2994" spans="2:2" x14ac:dyDescent="0.3">
      <c r="B2994"/>
    </row>
    <row r="2995" spans="2:2" x14ac:dyDescent="0.3">
      <c r="B2995"/>
    </row>
    <row r="2996" spans="2:2" x14ac:dyDescent="0.3">
      <c r="B2996"/>
    </row>
    <row r="2997" spans="2:2" x14ac:dyDescent="0.3">
      <c r="B2997"/>
    </row>
    <row r="2998" spans="2:2" x14ac:dyDescent="0.3">
      <c r="B2998"/>
    </row>
    <row r="2999" spans="2:2" x14ac:dyDescent="0.3">
      <c r="B2999"/>
    </row>
    <row r="3000" spans="2:2" x14ac:dyDescent="0.3">
      <c r="B3000"/>
    </row>
    <row r="3001" spans="2:2" x14ac:dyDescent="0.3">
      <c r="B3001"/>
    </row>
    <row r="3002" spans="2:2" x14ac:dyDescent="0.3">
      <c r="B3002"/>
    </row>
    <row r="3003" spans="2:2" x14ac:dyDescent="0.3">
      <c r="B3003"/>
    </row>
    <row r="3004" spans="2:2" x14ac:dyDescent="0.3">
      <c r="B3004"/>
    </row>
    <row r="3005" spans="2:2" x14ac:dyDescent="0.3">
      <c r="B3005"/>
    </row>
    <row r="3006" spans="2:2" x14ac:dyDescent="0.3">
      <c r="B3006"/>
    </row>
    <row r="3007" spans="2:2" x14ac:dyDescent="0.3">
      <c r="B3007"/>
    </row>
    <row r="3008" spans="2:2" x14ac:dyDescent="0.3">
      <c r="B3008"/>
    </row>
    <row r="3009" spans="2:2" x14ac:dyDescent="0.3">
      <c r="B3009"/>
    </row>
    <row r="3010" spans="2:2" x14ac:dyDescent="0.3">
      <c r="B3010"/>
    </row>
    <row r="3011" spans="2:2" x14ac:dyDescent="0.3">
      <c r="B3011"/>
    </row>
    <row r="3012" spans="2:2" x14ac:dyDescent="0.3">
      <c r="B3012"/>
    </row>
    <row r="3013" spans="2:2" x14ac:dyDescent="0.3">
      <c r="B3013"/>
    </row>
    <row r="3014" spans="2:2" x14ac:dyDescent="0.3">
      <c r="B3014"/>
    </row>
    <row r="3015" spans="2:2" x14ac:dyDescent="0.3">
      <c r="B3015"/>
    </row>
    <row r="3016" spans="2:2" x14ac:dyDescent="0.3">
      <c r="B3016"/>
    </row>
    <row r="3017" spans="2:2" x14ac:dyDescent="0.3">
      <c r="B3017"/>
    </row>
    <row r="3018" spans="2:2" x14ac:dyDescent="0.3">
      <c r="B3018"/>
    </row>
    <row r="3019" spans="2:2" x14ac:dyDescent="0.3">
      <c r="B3019"/>
    </row>
    <row r="3020" spans="2:2" x14ac:dyDescent="0.3">
      <c r="B3020"/>
    </row>
    <row r="3021" spans="2:2" x14ac:dyDescent="0.3">
      <c r="B3021"/>
    </row>
    <row r="3022" spans="2:2" x14ac:dyDescent="0.3">
      <c r="B3022"/>
    </row>
    <row r="3023" spans="2:2" x14ac:dyDescent="0.3">
      <c r="B3023"/>
    </row>
    <row r="3024" spans="2:2" x14ac:dyDescent="0.3">
      <c r="B3024"/>
    </row>
    <row r="3025" spans="2:2" x14ac:dyDescent="0.3">
      <c r="B3025"/>
    </row>
    <row r="3026" spans="2:2" x14ac:dyDescent="0.3">
      <c r="B3026"/>
    </row>
    <row r="3027" spans="2:2" x14ac:dyDescent="0.3">
      <c r="B3027"/>
    </row>
    <row r="3028" spans="2:2" x14ac:dyDescent="0.3">
      <c r="B3028"/>
    </row>
    <row r="3029" spans="2:2" x14ac:dyDescent="0.3">
      <c r="B3029"/>
    </row>
    <row r="3030" spans="2:2" x14ac:dyDescent="0.3">
      <c r="B3030"/>
    </row>
    <row r="3031" spans="2:2" x14ac:dyDescent="0.3">
      <c r="B3031"/>
    </row>
    <row r="3032" spans="2:2" x14ac:dyDescent="0.3">
      <c r="B3032"/>
    </row>
    <row r="3033" spans="2:2" x14ac:dyDescent="0.3">
      <c r="B3033"/>
    </row>
    <row r="3034" spans="2:2" x14ac:dyDescent="0.3">
      <c r="B3034"/>
    </row>
    <row r="3035" spans="2:2" x14ac:dyDescent="0.3">
      <c r="B3035"/>
    </row>
    <row r="3036" spans="2:2" x14ac:dyDescent="0.3">
      <c r="B3036"/>
    </row>
  </sheetData>
  <pageMargins left="0.7" right="0.7" top="0.75" bottom="0.75" header="0.3" footer="0.3"/>
  <pageSetup scale="8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6"/>
  <sheetViews>
    <sheetView workbookViewId="0"/>
  </sheetViews>
  <sheetFormatPr defaultRowHeight="15" x14ac:dyDescent="0.3"/>
  <sheetData>
    <row r="4" spans="2:6" x14ac:dyDescent="0.3">
      <c r="B4" s="196" t="s">
        <v>483</v>
      </c>
      <c r="C4" t="s">
        <v>121</v>
      </c>
      <c r="D4" s="197">
        <v>500</v>
      </c>
      <c r="E4" s="197"/>
    </row>
    <row r="5" spans="2:6" x14ac:dyDescent="0.3">
      <c r="B5" s="196" t="s">
        <v>484</v>
      </c>
      <c r="C5" s="110" t="s">
        <v>265</v>
      </c>
      <c r="D5" s="197">
        <v>500</v>
      </c>
      <c r="E5" s="263"/>
    </row>
    <row r="6" spans="2:6" x14ac:dyDescent="0.3">
      <c r="B6" t="s">
        <v>485</v>
      </c>
      <c r="C6" s="110" t="s">
        <v>215</v>
      </c>
      <c r="D6" s="197">
        <f>1300+300</f>
        <v>1600</v>
      </c>
      <c r="E6" s="263"/>
      <c r="F6" s="198" t="s">
        <v>523</v>
      </c>
    </row>
    <row r="7" spans="2:6" x14ac:dyDescent="0.3">
      <c r="B7" s="110" t="s">
        <v>512</v>
      </c>
      <c r="C7" t="s">
        <v>200</v>
      </c>
      <c r="D7" s="197">
        <v>300</v>
      </c>
      <c r="E7" s="263"/>
    </row>
    <row r="8" spans="2:6" x14ac:dyDescent="0.3">
      <c r="B8" s="110" t="s">
        <v>513</v>
      </c>
      <c r="C8" t="s">
        <v>79</v>
      </c>
      <c r="D8" s="197">
        <v>1500</v>
      </c>
      <c r="E8" s="263"/>
      <c r="F8" s="198" t="s">
        <v>514</v>
      </c>
    </row>
    <row r="9" spans="2:6" x14ac:dyDescent="0.3">
      <c r="B9" s="110" t="s">
        <v>515</v>
      </c>
      <c r="C9" s="11" t="s">
        <v>34</v>
      </c>
      <c r="D9" s="197">
        <v>450</v>
      </c>
      <c r="E9" s="263"/>
    </row>
    <row r="10" spans="2:6" x14ac:dyDescent="0.3">
      <c r="B10" s="262" t="s">
        <v>516</v>
      </c>
      <c r="C10" s="12" t="s">
        <v>218</v>
      </c>
      <c r="D10" s="197">
        <v>3500</v>
      </c>
      <c r="E10" s="263">
        <v>41702</v>
      </c>
      <c r="F10" s="264" t="s">
        <v>517</v>
      </c>
    </row>
    <row r="11" spans="2:6" x14ac:dyDescent="0.3">
      <c r="B11" s="262" t="s">
        <v>518</v>
      </c>
      <c r="C11" s="12" t="s">
        <v>72</v>
      </c>
      <c r="D11" s="197">
        <v>100</v>
      </c>
      <c r="E11" s="263"/>
    </row>
    <row r="12" spans="2:6" x14ac:dyDescent="0.3">
      <c r="B12" s="262" t="s">
        <v>519</v>
      </c>
      <c r="C12" s="265" t="s">
        <v>172</v>
      </c>
      <c r="D12" s="197">
        <v>500</v>
      </c>
      <c r="E12" s="263">
        <v>41739</v>
      </c>
    </row>
    <row r="13" spans="2:6" x14ac:dyDescent="0.3">
      <c r="B13" s="262" t="s">
        <v>525</v>
      </c>
      <c r="C13" s="11" t="s">
        <v>141</v>
      </c>
      <c r="D13" s="197">
        <v>900</v>
      </c>
      <c r="E13" s="263">
        <v>41866</v>
      </c>
      <c r="F13" s="264" t="s">
        <v>527</v>
      </c>
    </row>
    <row r="14" spans="2:6" x14ac:dyDescent="0.3">
      <c r="B14" s="262" t="s">
        <v>525</v>
      </c>
      <c r="C14" s="11" t="s">
        <v>141</v>
      </c>
      <c r="D14" s="197">
        <v>600</v>
      </c>
      <c r="E14" s="263">
        <v>41935</v>
      </c>
      <c r="F14" t="s">
        <v>526</v>
      </c>
    </row>
    <row r="15" spans="2:6" x14ac:dyDescent="0.3">
      <c r="B15" s="262" t="s">
        <v>525</v>
      </c>
      <c r="C15" s="11" t="s">
        <v>141</v>
      </c>
      <c r="D15" s="197">
        <v>300</v>
      </c>
      <c r="E15" s="263">
        <v>41956</v>
      </c>
      <c r="F15" t="s">
        <v>528</v>
      </c>
    </row>
    <row r="16" spans="2:6" x14ac:dyDescent="0.3">
      <c r="B16" s="262" t="s">
        <v>530</v>
      </c>
      <c r="C16" s="265" t="s">
        <v>229</v>
      </c>
      <c r="D16" s="197">
        <v>500</v>
      </c>
      <c r="E16" s="288">
        <v>41660</v>
      </c>
      <c r="F16" s="110" t="s">
        <v>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workbookViewId="0">
      <selection activeCell="J19" sqref="J19"/>
    </sheetView>
  </sheetViews>
  <sheetFormatPr defaultRowHeight="15" x14ac:dyDescent="0.3"/>
  <cols>
    <col min="1" max="1" width="28.85546875" bestFit="1" customWidth="1"/>
    <col min="2" max="2" width="22.85546875" bestFit="1" customWidth="1"/>
    <col min="3" max="3" width="16.42578125" customWidth="1"/>
    <col min="4" max="4" width="13.140625" bestFit="1" customWidth="1"/>
    <col min="5" max="5" width="8.5703125" bestFit="1" customWidth="1"/>
    <col min="6" max="6" width="10.7109375" bestFit="1" customWidth="1"/>
    <col min="7" max="7" width="15.140625" customWidth="1"/>
    <col min="8" max="12" width="11.85546875" bestFit="1" customWidth="1"/>
    <col min="13" max="13" width="10.7109375" bestFit="1" customWidth="1"/>
    <col min="14" max="15" width="11.85546875" bestFit="1" customWidth="1"/>
    <col min="16" max="16" width="13.140625" bestFit="1" customWidth="1"/>
    <col min="17" max="17" width="11.85546875" bestFit="1" customWidth="1"/>
    <col min="18" max="19" width="13.140625" bestFit="1" customWidth="1"/>
    <col min="20" max="20" width="15" bestFit="1" customWidth="1"/>
  </cols>
  <sheetData>
    <row r="1" spans="1:21" x14ac:dyDescent="0.3">
      <c r="A1" s="31"/>
      <c r="B1" s="51"/>
      <c r="C1" s="58" t="s">
        <v>2</v>
      </c>
      <c r="D1" s="32"/>
      <c r="E1" s="32"/>
      <c r="F1" s="59"/>
      <c r="G1" s="58" t="s">
        <v>3</v>
      </c>
      <c r="H1" s="33"/>
      <c r="I1" s="33"/>
      <c r="J1" s="32"/>
      <c r="K1" s="32"/>
      <c r="L1" s="32"/>
      <c r="M1" s="32"/>
      <c r="N1" s="32"/>
      <c r="O1" s="32"/>
      <c r="P1" s="32"/>
      <c r="Q1" s="76"/>
      <c r="R1" s="83" t="s">
        <v>4</v>
      </c>
      <c r="S1" s="84" t="s">
        <v>5</v>
      </c>
      <c r="T1" s="80"/>
      <c r="U1" s="18"/>
    </row>
    <row r="2" spans="1:21" ht="51" x14ac:dyDescent="0.3">
      <c r="A2" s="34"/>
      <c r="B2" s="52" t="s">
        <v>8</v>
      </c>
      <c r="C2" s="60" t="s">
        <v>9</v>
      </c>
      <c r="D2" s="5" t="s">
        <v>10</v>
      </c>
      <c r="E2" s="189" t="s">
        <v>482</v>
      </c>
      <c r="F2" s="7" t="s">
        <v>11</v>
      </c>
      <c r="G2" s="77" t="s">
        <v>12</v>
      </c>
      <c r="H2" s="6" t="s">
        <v>324</v>
      </c>
      <c r="I2" s="6" t="s">
        <v>302</v>
      </c>
      <c r="J2" s="6" t="s">
        <v>316</v>
      </c>
      <c r="K2" s="6" t="s">
        <v>314</v>
      </c>
      <c r="L2" s="6" t="s">
        <v>361</v>
      </c>
      <c r="M2" s="6" t="s">
        <v>14</v>
      </c>
      <c r="N2" s="6" t="s">
        <v>315</v>
      </c>
      <c r="O2" s="6" t="s">
        <v>15</v>
      </c>
      <c r="P2" s="6" t="s">
        <v>320</v>
      </c>
      <c r="Q2" s="7" t="s">
        <v>13</v>
      </c>
      <c r="R2" s="85" t="s">
        <v>16</v>
      </c>
      <c r="S2" s="7" t="s">
        <v>17</v>
      </c>
      <c r="T2" s="81" t="s">
        <v>18</v>
      </c>
      <c r="U2" s="19"/>
    </row>
    <row r="3" spans="1:21" x14ac:dyDescent="0.3">
      <c r="A3" s="34"/>
      <c r="B3" s="53"/>
      <c r="C3" s="61" t="s">
        <v>6</v>
      </c>
      <c r="D3" s="3" t="s">
        <v>7</v>
      </c>
      <c r="E3" s="3"/>
      <c r="F3" s="4">
        <v>100</v>
      </c>
      <c r="G3" s="61">
        <v>242</v>
      </c>
      <c r="H3" s="3"/>
      <c r="I3" s="3">
        <v>410</v>
      </c>
      <c r="J3" s="3">
        <v>440</v>
      </c>
      <c r="K3" s="3">
        <v>460</v>
      </c>
      <c r="L3" s="3"/>
      <c r="M3" s="3">
        <v>500</v>
      </c>
      <c r="N3" s="3">
        <v>610</v>
      </c>
      <c r="O3" s="3">
        <v>620</v>
      </c>
      <c r="P3" s="3"/>
      <c r="Q3" s="4">
        <v>499</v>
      </c>
      <c r="R3" s="86"/>
      <c r="S3" s="4"/>
      <c r="T3" s="82"/>
      <c r="U3" s="19"/>
    </row>
    <row r="4" spans="1:21" ht="25.5" x14ac:dyDescent="0.3">
      <c r="A4" s="47"/>
      <c r="B4" s="54" t="s">
        <v>19</v>
      </c>
      <c r="C4" s="62" t="s">
        <v>20</v>
      </c>
      <c r="D4" s="48" t="s">
        <v>21</v>
      </c>
      <c r="E4" s="48"/>
      <c r="F4" s="63">
        <v>66100</v>
      </c>
      <c r="G4" s="78">
        <v>71600</v>
      </c>
      <c r="H4" s="49" t="s">
        <v>325</v>
      </c>
      <c r="I4" s="49">
        <v>73100</v>
      </c>
      <c r="J4" s="49">
        <v>72400</v>
      </c>
      <c r="K4" s="49">
        <v>73400</v>
      </c>
      <c r="L4" s="49" t="s">
        <v>360</v>
      </c>
      <c r="M4" s="49">
        <v>72500</v>
      </c>
      <c r="N4" s="49">
        <v>72200</v>
      </c>
      <c r="O4" s="49">
        <v>72800</v>
      </c>
      <c r="P4" s="49">
        <v>74700</v>
      </c>
      <c r="Q4" s="63">
        <v>74500</v>
      </c>
      <c r="R4" s="78" t="s">
        <v>333</v>
      </c>
      <c r="S4" s="63" t="s">
        <v>332</v>
      </c>
      <c r="T4" s="50"/>
      <c r="U4" s="20"/>
    </row>
    <row r="5" spans="1:21" x14ac:dyDescent="0.3">
      <c r="A5" s="35"/>
      <c r="B5" s="55"/>
      <c r="C5" s="64"/>
      <c r="D5" s="22"/>
      <c r="E5" s="190"/>
      <c r="F5" s="65"/>
      <c r="G5" s="79"/>
      <c r="H5" s="23"/>
      <c r="I5" s="23"/>
      <c r="J5" s="23"/>
      <c r="K5" s="23"/>
      <c r="L5" s="23"/>
      <c r="M5" s="23"/>
      <c r="N5" s="23"/>
      <c r="O5" s="23"/>
      <c r="P5" s="23"/>
      <c r="Q5" s="65"/>
      <c r="R5" s="79"/>
      <c r="S5" s="65"/>
      <c r="T5" s="36"/>
      <c r="U5" s="24"/>
    </row>
    <row r="6" spans="1:21" x14ac:dyDescent="0.3">
      <c r="A6" s="37" t="s">
        <v>318</v>
      </c>
      <c r="B6" s="56" t="s">
        <v>319</v>
      </c>
      <c r="C6" s="210">
        <v>209703.469855175</v>
      </c>
      <c r="D6" s="39">
        <f>110636.895696616*3</f>
        <v>331910.68708984798</v>
      </c>
      <c r="E6" s="191"/>
      <c r="F6" s="66">
        <v>1500</v>
      </c>
      <c r="G6" s="70">
        <v>17000</v>
      </c>
      <c r="H6" s="41"/>
      <c r="I6" s="41">
        <v>8000</v>
      </c>
      <c r="J6" s="41">
        <v>30000</v>
      </c>
      <c r="K6" s="41">
        <v>3000</v>
      </c>
      <c r="L6" s="41">
        <v>19000</v>
      </c>
      <c r="M6" s="41">
        <v>5000</v>
      </c>
      <c r="N6" s="41">
        <v>1000</v>
      </c>
      <c r="O6" s="41">
        <v>30000</v>
      </c>
      <c r="P6" s="41">
        <v>220000</v>
      </c>
      <c r="Q6" s="42">
        <v>25000</v>
      </c>
      <c r="R6" s="70">
        <f>SUM(C6:F6)</f>
        <v>543114.15694502299</v>
      </c>
      <c r="S6" s="42">
        <f>SUM(G6:Q6)</f>
        <v>358000</v>
      </c>
      <c r="T6" s="42">
        <f t="shared" ref="T6:T12" si="0">SUM(R6:S6)</f>
        <v>901114.15694502299</v>
      </c>
    </row>
    <row r="7" spans="1:21" x14ac:dyDescent="0.3">
      <c r="A7" s="37"/>
      <c r="B7" s="56"/>
      <c r="C7" s="37"/>
      <c r="D7" s="38"/>
      <c r="E7" s="192"/>
      <c r="F7" s="56"/>
      <c r="G7" s="410"/>
      <c r="H7" s="38"/>
      <c r="I7" s="38"/>
      <c r="J7" s="38"/>
      <c r="K7" s="38"/>
      <c r="L7" s="38"/>
      <c r="M7" s="41"/>
      <c r="N7" s="41"/>
      <c r="O7" s="38"/>
      <c r="P7" s="41"/>
      <c r="Q7" s="56"/>
      <c r="R7" s="37"/>
      <c r="S7" s="42">
        <f>SUM(G7:Q7)</f>
        <v>0</v>
      </c>
      <c r="T7" s="42">
        <f t="shared" si="0"/>
        <v>0</v>
      </c>
    </row>
    <row r="8" spans="1:21" x14ac:dyDescent="0.3">
      <c r="A8" s="44" t="s">
        <v>321</v>
      </c>
      <c r="B8" s="57"/>
      <c r="C8" s="69">
        <f t="shared" ref="C8:S8" si="1">SUM(C6:C7)</f>
        <v>209703.469855175</v>
      </c>
      <c r="D8" s="45">
        <f t="shared" si="1"/>
        <v>331910.68708984798</v>
      </c>
      <c r="E8" s="193"/>
      <c r="F8" s="46">
        <f t="shared" si="1"/>
        <v>1500</v>
      </c>
      <c r="G8" s="411">
        <f t="shared" ref="G8:Q8" si="2">SUM(G6:G7)</f>
        <v>17000</v>
      </c>
      <c r="H8" s="412">
        <f t="shared" si="2"/>
        <v>0</v>
      </c>
      <c r="I8" s="412">
        <f t="shared" si="2"/>
        <v>8000</v>
      </c>
      <c r="J8" s="412">
        <f t="shared" si="2"/>
        <v>30000</v>
      </c>
      <c r="K8" s="412">
        <f t="shared" si="2"/>
        <v>3000</v>
      </c>
      <c r="L8" s="412">
        <f t="shared" si="2"/>
        <v>19000</v>
      </c>
      <c r="M8" s="412">
        <f t="shared" si="2"/>
        <v>5000</v>
      </c>
      <c r="N8" s="412">
        <f t="shared" si="2"/>
        <v>1000</v>
      </c>
      <c r="O8" s="412">
        <f t="shared" si="2"/>
        <v>30000</v>
      </c>
      <c r="P8" s="412">
        <f t="shared" si="2"/>
        <v>220000</v>
      </c>
      <c r="Q8" s="413">
        <f t="shared" si="2"/>
        <v>25000</v>
      </c>
      <c r="R8" s="69">
        <f t="shared" si="1"/>
        <v>543114.15694502299</v>
      </c>
      <c r="S8" s="46">
        <f t="shared" si="1"/>
        <v>358000</v>
      </c>
      <c r="T8" s="46">
        <f>SUM(R8:S8)</f>
        <v>901114.15694502299</v>
      </c>
    </row>
    <row r="9" spans="1:21" x14ac:dyDescent="0.3">
      <c r="A9" s="37"/>
      <c r="B9" s="56" t="s">
        <v>322</v>
      </c>
      <c r="C9" s="67"/>
      <c r="D9" s="43"/>
      <c r="E9" s="192"/>
      <c r="F9" s="68"/>
      <c r="G9" s="414"/>
      <c r="H9" s="40">
        <v>58000</v>
      </c>
      <c r="I9" s="41"/>
      <c r="J9" s="41"/>
      <c r="K9" s="41"/>
      <c r="L9" s="41"/>
      <c r="M9" s="41"/>
      <c r="N9" s="41"/>
      <c r="O9" s="41"/>
      <c r="P9" s="41"/>
      <c r="Q9" s="42"/>
      <c r="R9" s="70">
        <f>SUM(C9:F9)</f>
        <v>0</v>
      </c>
      <c r="S9" s="42">
        <f>SUM(G9:Q9)</f>
        <v>58000</v>
      </c>
      <c r="T9" s="42">
        <f>SUM(R9:S9)</f>
        <v>58000</v>
      </c>
    </row>
    <row r="10" spans="1:21" x14ac:dyDescent="0.3">
      <c r="A10" s="37"/>
      <c r="B10" s="56"/>
      <c r="C10" s="70"/>
      <c r="D10" s="41"/>
      <c r="E10" s="194"/>
      <c r="F10" s="42"/>
      <c r="G10" s="70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37"/>
      <c r="S10" s="42">
        <f>SUM(G10:Q10)</f>
        <v>0</v>
      </c>
      <c r="T10" s="42">
        <f t="shared" si="0"/>
        <v>0</v>
      </c>
    </row>
    <row r="11" spans="1:21" x14ac:dyDescent="0.3">
      <c r="A11" s="44" t="s">
        <v>337</v>
      </c>
      <c r="B11" s="57"/>
      <c r="C11" s="69">
        <f>C6</f>
        <v>209703.469855175</v>
      </c>
      <c r="D11" s="45">
        <f>110636.895696616*2</f>
        <v>221273.79139323201</v>
      </c>
      <c r="E11" s="193"/>
      <c r="F11" s="46">
        <v>1000</v>
      </c>
      <c r="G11" s="411">
        <v>10000</v>
      </c>
      <c r="H11" s="412"/>
      <c r="I11" s="412">
        <v>2000</v>
      </c>
      <c r="J11" s="412">
        <v>18000</v>
      </c>
      <c r="K11" s="412">
        <v>2000</v>
      </c>
      <c r="L11" s="412">
        <v>4000</v>
      </c>
      <c r="M11" s="412">
        <v>1500</v>
      </c>
      <c r="N11" s="412"/>
      <c r="O11" s="412">
        <v>500</v>
      </c>
      <c r="P11" s="412"/>
      <c r="Q11" s="413">
        <v>1500</v>
      </c>
      <c r="R11" s="70">
        <f>SUM(C11:F11)</f>
        <v>431977.26124840701</v>
      </c>
      <c r="S11" s="46">
        <f>SUM(G11:Q11)</f>
        <v>39500</v>
      </c>
      <c r="T11" s="46">
        <f t="shared" si="0"/>
        <v>471477.26124840701</v>
      </c>
    </row>
    <row r="12" spans="1:21" x14ac:dyDescent="0.3">
      <c r="A12" s="37"/>
      <c r="B12" s="56"/>
      <c r="C12" s="70"/>
      <c r="D12" s="41"/>
      <c r="E12" s="194"/>
      <c r="F12" s="42"/>
      <c r="G12" s="70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37"/>
      <c r="S12" s="42">
        <f>SUM(G12:Q12)</f>
        <v>0</v>
      </c>
      <c r="T12" s="42">
        <f t="shared" si="0"/>
        <v>0</v>
      </c>
    </row>
    <row r="13" spans="1:21" x14ac:dyDescent="0.3">
      <c r="A13" s="71" t="s">
        <v>323</v>
      </c>
      <c r="B13" s="72"/>
      <c r="C13" s="73">
        <f t="shared" ref="C13:T13" si="3">SUM(C8:C11)</f>
        <v>419406.93971035001</v>
      </c>
      <c r="D13" s="74">
        <f t="shared" si="3"/>
        <v>553184.47848307993</v>
      </c>
      <c r="E13" s="195">
        <f t="shared" si="3"/>
        <v>0</v>
      </c>
      <c r="F13" s="75">
        <f t="shared" si="3"/>
        <v>2500</v>
      </c>
      <c r="G13" s="73">
        <f t="shared" si="3"/>
        <v>27000</v>
      </c>
      <c r="H13" s="73">
        <f t="shared" si="3"/>
        <v>58000</v>
      </c>
      <c r="I13" s="74">
        <f t="shared" si="3"/>
        <v>10000</v>
      </c>
      <c r="J13" s="74">
        <f t="shared" si="3"/>
        <v>48000</v>
      </c>
      <c r="K13" s="74">
        <f t="shared" si="3"/>
        <v>5000</v>
      </c>
      <c r="L13" s="74">
        <f t="shared" si="3"/>
        <v>23000</v>
      </c>
      <c r="M13" s="74">
        <f t="shared" si="3"/>
        <v>6500</v>
      </c>
      <c r="N13" s="74">
        <f t="shared" si="3"/>
        <v>1000</v>
      </c>
      <c r="O13" s="74">
        <f t="shared" si="3"/>
        <v>30500</v>
      </c>
      <c r="P13" s="74">
        <f t="shared" si="3"/>
        <v>220000</v>
      </c>
      <c r="Q13" s="75">
        <f t="shared" si="3"/>
        <v>26500</v>
      </c>
      <c r="R13" s="73">
        <f t="shared" si="3"/>
        <v>975091.41819342994</v>
      </c>
      <c r="S13" s="75">
        <f t="shared" si="3"/>
        <v>455500</v>
      </c>
      <c r="T13" s="75">
        <f t="shared" si="3"/>
        <v>1430591.4181934299</v>
      </c>
    </row>
  </sheetData>
  <pageMargins left="0.2" right="0" top="0.75" bottom="0.75" header="0.3" footer="0.3"/>
  <pageSetup scale="5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32"/>
  <sheetViews>
    <sheetView workbookViewId="0">
      <pane xSplit="5" ySplit="4" topLeftCell="F97" activePane="bottomRight" state="frozen"/>
      <selection pane="topRight" activeCell="F1" sqref="F1"/>
      <selection pane="bottomLeft" activeCell="A5" sqref="A5"/>
      <selection pane="bottomRight" activeCell="E3" sqref="A3:E3"/>
    </sheetView>
  </sheetViews>
  <sheetFormatPr defaultRowHeight="15" x14ac:dyDescent="0.3"/>
  <cols>
    <col min="1" max="1" width="4" bestFit="1" customWidth="1"/>
    <col min="2" max="2" width="5.5703125" bestFit="1" customWidth="1"/>
    <col min="3" max="3" width="27.140625" customWidth="1"/>
    <col min="4" max="4" width="13.42578125" customWidth="1"/>
    <col min="6" max="6" width="5.7109375" style="302" customWidth="1"/>
    <col min="7" max="7" width="5.7109375" style="302" bestFit="1" customWidth="1"/>
    <col min="8" max="8" width="6.7109375" style="302" bestFit="1" customWidth="1"/>
    <col min="9" max="9" width="5.85546875" style="302" bestFit="1" customWidth="1"/>
    <col min="10" max="10" width="5.140625" style="302" customWidth="1"/>
    <col min="11" max="11" width="8.85546875" style="302" bestFit="1" customWidth="1"/>
    <col min="12" max="12" width="6.85546875" style="302" bestFit="1" customWidth="1"/>
    <col min="13" max="14" width="14.28515625" style="302" bestFit="1" customWidth="1"/>
    <col min="15" max="15" width="11.28515625" style="400" customWidth="1"/>
    <col min="16" max="16" width="13.140625" style="400" bestFit="1" customWidth="1"/>
    <col min="17" max="17" width="11.140625" style="400" bestFit="1" customWidth="1"/>
    <col min="18" max="18" width="13.7109375" customWidth="1"/>
    <col min="19" max="19" width="13.140625" bestFit="1" customWidth="1"/>
    <col min="20" max="20" width="10" bestFit="1" customWidth="1"/>
    <col min="21" max="21" width="10.7109375" customWidth="1"/>
    <col min="22" max="22" width="13.140625" bestFit="1" customWidth="1"/>
    <col min="23" max="23" width="12.42578125" customWidth="1"/>
    <col min="24" max="24" width="13.85546875" customWidth="1"/>
    <col min="25" max="25" width="13.28515625" customWidth="1"/>
    <col min="26" max="26" width="12.42578125" customWidth="1"/>
    <col min="27" max="27" width="11.42578125" customWidth="1"/>
    <col min="28" max="28" width="14.28515625" customWidth="1"/>
    <col min="29" max="29" width="13.7109375" bestFit="1" customWidth="1"/>
    <col min="30" max="30" width="8.85546875" bestFit="1" customWidth="1"/>
    <col min="31" max="31" width="9" bestFit="1" customWidth="1"/>
    <col min="32" max="33" width="6.5703125" bestFit="1" customWidth="1"/>
    <col min="34" max="36" width="14.28515625" bestFit="1" customWidth="1"/>
    <col min="37" max="37" width="21" style="328" customWidth="1"/>
  </cols>
  <sheetData>
    <row r="1" spans="1:36" x14ac:dyDescent="0.3">
      <c r="E1" s="17">
        <v>1</v>
      </c>
      <c r="F1" s="300">
        <v>2</v>
      </c>
      <c r="G1" s="300">
        <v>3</v>
      </c>
      <c r="H1" s="300">
        <v>4</v>
      </c>
      <c r="I1" s="300">
        <v>5</v>
      </c>
      <c r="J1" s="300">
        <v>6</v>
      </c>
      <c r="K1" s="300">
        <v>7</v>
      </c>
      <c r="L1" s="300">
        <v>8</v>
      </c>
      <c r="M1" s="300">
        <v>9</v>
      </c>
      <c r="N1" s="300">
        <v>10</v>
      </c>
      <c r="O1" s="147">
        <v>11</v>
      </c>
      <c r="P1" s="147">
        <v>12</v>
      </c>
      <c r="Q1" s="147">
        <v>13</v>
      </c>
      <c r="R1" s="17">
        <v>14</v>
      </c>
      <c r="S1" s="17">
        <v>15</v>
      </c>
      <c r="T1" s="17">
        <v>16</v>
      </c>
      <c r="U1" s="17">
        <v>17</v>
      </c>
      <c r="V1" s="17">
        <v>18</v>
      </c>
      <c r="W1" s="17">
        <v>19</v>
      </c>
      <c r="X1" s="17">
        <v>20</v>
      </c>
      <c r="Y1" s="17">
        <v>21</v>
      </c>
      <c r="Z1" s="17">
        <v>22</v>
      </c>
      <c r="AA1" s="17">
        <v>23</v>
      </c>
      <c r="AB1" s="17">
        <v>24</v>
      </c>
      <c r="AC1" s="17">
        <v>25</v>
      </c>
      <c r="AD1" s="17">
        <v>26</v>
      </c>
      <c r="AE1" s="17">
        <v>27</v>
      </c>
      <c r="AF1" s="17">
        <v>28</v>
      </c>
      <c r="AG1" s="17">
        <v>29</v>
      </c>
      <c r="AH1" s="17">
        <v>30</v>
      </c>
      <c r="AI1" s="17">
        <v>31</v>
      </c>
      <c r="AJ1" s="17">
        <v>32</v>
      </c>
    </row>
    <row r="2" spans="1:36" ht="23.25" thickBot="1" x14ac:dyDescent="0.45">
      <c r="C2" s="92" t="s">
        <v>610</v>
      </c>
      <c r="E2" s="116" t="s">
        <v>533</v>
      </c>
      <c r="F2" s="301"/>
      <c r="G2" s="301"/>
      <c r="H2" s="301"/>
      <c r="I2" s="301"/>
      <c r="J2" s="301"/>
      <c r="K2" s="301"/>
      <c r="L2" s="301"/>
      <c r="N2" s="303"/>
      <c r="O2" s="2"/>
      <c r="P2" s="2"/>
      <c r="Q2" s="2"/>
      <c r="R2" s="30"/>
      <c r="S2" s="417"/>
      <c r="T2" s="417"/>
      <c r="U2" s="417"/>
      <c r="V2" s="30"/>
      <c r="W2" s="30"/>
      <c r="X2" s="417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.75" thickBot="1" x14ac:dyDescent="0.35">
      <c r="A3" s="428"/>
      <c r="B3" s="429"/>
      <c r="C3" s="429"/>
      <c r="D3" s="429"/>
      <c r="E3" s="430" t="s">
        <v>8</v>
      </c>
      <c r="F3" s="304" t="s">
        <v>426</v>
      </c>
      <c r="G3" s="305"/>
      <c r="H3" s="306"/>
      <c r="I3" s="307"/>
      <c r="J3" s="306"/>
      <c r="K3" s="306"/>
      <c r="L3" s="305"/>
      <c r="M3" s="431" t="s">
        <v>615</v>
      </c>
      <c r="N3" s="432"/>
      <c r="O3" s="432"/>
      <c r="P3" s="432"/>
      <c r="Q3" s="433"/>
      <c r="R3" s="115" t="s">
        <v>616</v>
      </c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426"/>
      <c r="AD3" s="162"/>
      <c r="AE3" s="162"/>
      <c r="AF3" s="162"/>
      <c r="AG3" s="427"/>
      <c r="AH3" s="178" t="s">
        <v>612</v>
      </c>
      <c r="AI3" s="178"/>
      <c r="AJ3" s="199"/>
    </row>
    <row r="4" spans="1:36" ht="128.25" thickBot="1" x14ac:dyDescent="0.35">
      <c r="A4" s="25"/>
      <c r="B4" s="26"/>
      <c r="C4" s="27" t="s">
        <v>442</v>
      </c>
      <c r="D4" s="27" t="s">
        <v>326</v>
      </c>
      <c r="E4" s="27" t="s">
        <v>443</v>
      </c>
      <c r="F4" s="27" t="s">
        <v>362</v>
      </c>
      <c r="G4" s="27" t="s">
        <v>304</v>
      </c>
      <c r="H4" s="27" t="s">
        <v>305</v>
      </c>
      <c r="I4" s="27" t="s">
        <v>306</v>
      </c>
      <c r="J4" s="27" t="s">
        <v>307</v>
      </c>
      <c r="K4" s="27" t="s">
        <v>310</v>
      </c>
      <c r="L4" s="27" t="s">
        <v>425</v>
      </c>
      <c r="M4" s="401" t="s">
        <v>427</v>
      </c>
      <c r="N4" s="402" t="s">
        <v>428</v>
      </c>
      <c r="O4" s="402" t="s">
        <v>429</v>
      </c>
      <c r="P4" s="402" t="s">
        <v>481</v>
      </c>
      <c r="Q4" s="403" t="s">
        <v>430</v>
      </c>
      <c r="R4" s="418" t="s">
        <v>431</v>
      </c>
      <c r="S4" s="167" t="s">
        <v>432</v>
      </c>
      <c r="T4" s="165" t="s">
        <v>433</v>
      </c>
      <c r="U4" s="165" t="s">
        <v>434</v>
      </c>
      <c r="V4" s="165" t="s">
        <v>435</v>
      </c>
      <c r="W4" s="165" t="s">
        <v>436</v>
      </c>
      <c r="X4" s="165" t="s">
        <v>437</v>
      </c>
      <c r="Y4" s="165" t="s">
        <v>438</v>
      </c>
      <c r="Z4" s="165" t="s">
        <v>439</v>
      </c>
      <c r="AA4" s="165" t="s">
        <v>440</v>
      </c>
      <c r="AB4" s="165" t="s">
        <v>441</v>
      </c>
      <c r="AC4" s="180" t="s">
        <v>477</v>
      </c>
      <c r="AD4" s="180" t="s">
        <v>476</v>
      </c>
      <c r="AE4" s="180" t="s">
        <v>478</v>
      </c>
      <c r="AF4" s="180">
        <v>74300</v>
      </c>
      <c r="AG4" s="166">
        <v>74200</v>
      </c>
      <c r="AH4" s="179" t="s">
        <v>16</v>
      </c>
      <c r="AI4" s="29" t="s">
        <v>330</v>
      </c>
      <c r="AJ4" s="200" t="s">
        <v>18</v>
      </c>
    </row>
    <row r="5" spans="1:36" x14ac:dyDescent="0.3">
      <c r="A5" s="253">
        <v>1</v>
      </c>
      <c r="B5" s="114" t="s">
        <v>22</v>
      </c>
      <c r="C5" s="114" t="s">
        <v>23</v>
      </c>
      <c r="D5" s="114" t="s">
        <v>327</v>
      </c>
      <c r="E5" s="254" t="s">
        <v>24</v>
      </c>
      <c r="F5" s="393">
        <f>VLOOKUP($E5,'2015 Appr staffing table'!$D:$K, F$1, FALSE)</f>
        <v>1</v>
      </c>
      <c r="G5" s="393">
        <f>VLOOKUP($E5,'2015 Appr staffing table'!$D:$K, G$1, FALSE)</f>
        <v>0</v>
      </c>
      <c r="H5" s="393">
        <f>VLOOKUP($E5,'2015 Appr staffing table'!$D:$K, H$1, FALSE)</f>
        <v>7</v>
      </c>
      <c r="I5" s="393">
        <f>VLOOKUP($E5,'2015 Appr staffing table'!$D:$K, I$1, FALSE)</f>
        <v>5</v>
      </c>
      <c r="J5" s="393">
        <f>VLOOKUP($E5,'2015 Appr staffing table'!$D:$K, J$1, FALSE)</f>
        <v>0</v>
      </c>
      <c r="K5" s="393">
        <f>SUM(F5:J5)</f>
        <v>13</v>
      </c>
      <c r="L5" s="393">
        <f>VLOOKUP($E5,'2015 Appr staffing table'!$D:$K, L$1, FALSE)</f>
        <v>16</v>
      </c>
      <c r="M5" s="308">
        <f>VLOOKUP($E5,'2015 Appr staffing table'!$D:$S, 15, FALSE)</f>
        <v>3273329.8745040409</v>
      </c>
      <c r="N5" s="309">
        <f>VLOOKUP($E5,'2015 Appr staffing table'!$D:$S, 16, FALSE)</f>
        <v>758982.29875892843</v>
      </c>
      <c r="O5" s="255"/>
      <c r="P5" s="255"/>
      <c r="Q5" s="256">
        <v>8000</v>
      </c>
      <c r="R5" s="329">
        <v>60000</v>
      </c>
      <c r="S5" s="330">
        <f>94000-18000+1500</f>
        <v>77500</v>
      </c>
      <c r="T5" s="330"/>
      <c r="U5" s="330"/>
      <c r="V5" s="330">
        <v>132000</v>
      </c>
      <c r="W5" s="330">
        <v>19000</v>
      </c>
      <c r="X5" s="330">
        <v>30000</v>
      </c>
      <c r="Y5" s="330">
        <v>15000</v>
      </c>
      <c r="Z5" s="330">
        <v>1000</v>
      </c>
      <c r="AA5" s="330">
        <v>5000</v>
      </c>
      <c r="AB5" s="299">
        <v>3000</v>
      </c>
      <c r="AC5" s="257"/>
      <c r="AD5" s="258"/>
      <c r="AE5" s="258"/>
      <c r="AF5" s="258"/>
      <c r="AG5" s="419"/>
      <c r="AH5" s="259">
        <f t="shared" ref="AH5:AH36" si="0">SUM(M5:Q5)</f>
        <v>4040312.1732629696</v>
      </c>
      <c r="AI5" s="260">
        <f t="shared" ref="AI5:AI36" si="1">SUM(R5:AG5)</f>
        <v>342500</v>
      </c>
      <c r="AJ5" s="201">
        <f t="shared" ref="AJ5:AJ36" si="2">SUM(AH5:AI5)</f>
        <v>4382812.1732629696</v>
      </c>
    </row>
    <row r="6" spans="1:36" x14ac:dyDescent="0.3">
      <c r="A6" s="160">
        <f t="shared" ref="A6:A69" si="3">A5+1</f>
        <v>2</v>
      </c>
      <c r="B6" s="8" t="s">
        <v>25</v>
      </c>
      <c r="C6" s="8" t="s">
        <v>26</v>
      </c>
      <c r="D6" s="8" t="s">
        <v>328</v>
      </c>
      <c r="E6" s="11" t="s">
        <v>27</v>
      </c>
      <c r="F6" s="386">
        <f>VLOOKUP($E6,'2015 Appr staffing table'!$D:$K, F$1, FALSE)</f>
        <v>0</v>
      </c>
      <c r="G6" s="386">
        <f>VLOOKUP($E6,'2015 Appr staffing table'!$D:$K, G$1, FALSE)</f>
        <v>0</v>
      </c>
      <c r="H6" s="386">
        <f>VLOOKUP($E6,'2015 Appr staffing table'!$D:$K, H$1, FALSE)</f>
        <v>0</v>
      </c>
      <c r="I6" s="386">
        <f>VLOOKUP($E6,'2015 Appr staffing table'!$D:$K, I$1, FALSE)</f>
        <v>0</v>
      </c>
      <c r="J6" s="386">
        <f>VLOOKUP($E6,'2015 Appr staffing table'!$D:$K, J$1, FALSE)</f>
        <v>0</v>
      </c>
      <c r="K6" s="386">
        <f t="shared" ref="K6:K69" si="4">SUM(F6:J6)</f>
        <v>0</v>
      </c>
      <c r="L6" s="386">
        <f>VLOOKUP($E6,'2015 Appr staffing table'!$D:$K, L$1, FALSE)</f>
        <v>1</v>
      </c>
      <c r="M6" s="310">
        <f>VLOOKUP($E6,'2015 Appr staffing table'!$D:$S, 15, FALSE)</f>
        <v>0</v>
      </c>
      <c r="N6" s="311">
        <f>VLOOKUP($E6,'2015 Appr staffing table'!$D:$S, 16, FALSE)</f>
        <v>26752.264001027892</v>
      </c>
      <c r="O6" s="123"/>
      <c r="P6" s="123"/>
      <c r="Q6" s="90">
        <v>500</v>
      </c>
      <c r="R6" s="88">
        <v>1500</v>
      </c>
      <c r="S6" s="89">
        <v>10000</v>
      </c>
      <c r="T6" s="89"/>
      <c r="U6" s="89"/>
      <c r="V6" s="89">
        <v>4000</v>
      </c>
      <c r="W6" s="89">
        <v>1500</v>
      </c>
      <c r="X6" s="89">
        <f>400+1100</f>
        <v>1500</v>
      </c>
      <c r="Y6" s="89">
        <v>1000</v>
      </c>
      <c r="Z6" s="89">
        <v>1000</v>
      </c>
      <c r="AA6" s="89">
        <v>400</v>
      </c>
      <c r="AB6" s="123">
        <v>900</v>
      </c>
      <c r="AC6" s="181"/>
      <c r="AD6" s="184"/>
      <c r="AE6" s="184"/>
      <c r="AF6" s="184"/>
      <c r="AG6" s="420"/>
      <c r="AH6" s="10">
        <f t="shared" si="0"/>
        <v>27252.264001027892</v>
      </c>
      <c r="AI6" s="9">
        <f t="shared" si="1"/>
        <v>21800</v>
      </c>
      <c r="AJ6" s="202">
        <f t="shared" si="2"/>
        <v>49052.264001027892</v>
      </c>
    </row>
    <row r="7" spans="1:36" x14ac:dyDescent="0.3">
      <c r="A7" s="160">
        <f t="shared" si="3"/>
        <v>3</v>
      </c>
      <c r="B7" s="117" t="s">
        <v>402</v>
      </c>
      <c r="C7" s="8" t="s">
        <v>28</v>
      </c>
      <c r="D7" s="117" t="s">
        <v>423</v>
      </c>
      <c r="E7" s="11" t="s">
        <v>29</v>
      </c>
      <c r="F7" s="386">
        <f>VLOOKUP($E7,'2015 Appr staffing table'!$D:$K, F$1, FALSE)</f>
        <v>0</v>
      </c>
      <c r="G7" s="386">
        <f>VLOOKUP($E7,'2015 Appr staffing table'!$D:$K, G$1, FALSE)</f>
        <v>0</v>
      </c>
      <c r="H7" s="386">
        <f>VLOOKUP($E7,'2015 Appr staffing table'!$D:$K, H$1, FALSE)</f>
        <v>2</v>
      </c>
      <c r="I7" s="386">
        <f>VLOOKUP($E7,'2015 Appr staffing table'!$D:$K, I$1, FALSE)</f>
        <v>0</v>
      </c>
      <c r="J7" s="386">
        <f>VLOOKUP($E7,'2015 Appr staffing table'!$D:$K, J$1, FALSE)</f>
        <v>0</v>
      </c>
      <c r="K7" s="386">
        <f t="shared" si="4"/>
        <v>2</v>
      </c>
      <c r="L7" s="386">
        <f>VLOOKUP($E7,'2015 Appr staffing table'!$D:$K, L$1, FALSE)</f>
        <v>3</v>
      </c>
      <c r="M7" s="310">
        <f>VLOOKUP($E7,'2015 Appr staffing table'!$D:$S, 15, FALSE)</f>
        <v>396753.05317419989</v>
      </c>
      <c r="N7" s="311">
        <f>VLOOKUP($E7,'2015 Appr staffing table'!$D:$S, 16, FALSE)</f>
        <v>72349.880665166187</v>
      </c>
      <c r="O7" s="123"/>
      <c r="P7" s="123"/>
      <c r="Q7" s="90">
        <v>1500</v>
      </c>
      <c r="R7" s="88">
        <v>6000</v>
      </c>
      <c r="S7" s="89">
        <v>80000</v>
      </c>
      <c r="T7" s="89"/>
      <c r="U7" s="89"/>
      <c r="V7" s="89">
        <v>8000</v>
      </c>
      <c r="W7" s="89">
        <v>1600</v>
      </c>
      <c r="X7" s="89">
        <v>700</v>
      </c>
      <c r="Y7" s="89">
        <v>1400</v>
      </c>
      <c r="Z7" s="89">
        <v>1000</v>
      </c>
      <c r="AA7" s="89">
        <v>500</v>
      </c>
      <c r="AB7" s="123">
        <v>600</v>
      </c>
      <c r="AC7" s="181"/>
      <c r="AD7" s="184"/>
      <c r="AE7" s="184"/>
      <c r="AF7" s="184"/>
      <c r="AG7" s="420"/>
      <c r="AH7" s="10">
        <f t="shared" si="0"/>
        <v>470602.93383936607</v>
      </c>
      <c r="AI7" s="9">
        <f t="shared" si="1"/>
        <v>99800</v>
      </c>
      <c r="AJ7" s="202">
        <f t="shared" si="2"/>
        <v>570402.93383936607</v>
      </c>
    </row>
    <row r="8" spans="1:36" x14ac:dyDescent="0.3">
      <c r="A8" s="160">
        <f t="shared" si="3"/>
        <v>4</v>
      </c>
      <c r="B8" s="117" t="s">
        <v>363</v>
      </c>
      <c r="C8" s="8" t="s">
        <v>30</v>
      </c>
      <c r="D8" s="117" t="s">
        <v>423</v>
      </c>
      <c r="E8" s="11" t="s">
        <v>31</v>
      </c>
      <c r="F8" s="386">
        <f>VLOOKUP($E8,'2015 Appr staffing table'!$D:$K, F$1, FALSE)</f>
        <v>0</v>
      </c>
      <c r="G8" s="386">
        <f>VLOOKUP($E8,'2015 Appr staffing table'!$D:$K, G$1, FALSE)</f>
        <v>0</v>
      </c>
      <c r="H8" s="386">
        <f>VLOOKUP($E8,'2015 Appr staffing table'!$D:$K, H$1, FALSE)</f>
        <v>1</v>
      </c>
      <c r="I8" s="386">
        <f>VLOOKUP($E8,'2015 Appr staffing table'!$D:$K, I$1, FALSE)</f>
        <v>0</v>
      </c>
      <c r="J8" s="386">
        <f>VLOOKUP($E8,'2015 Appr staffing table'!$D:$K, J$1, FALSE)</f>
        <v>0</v>
      </c>
      <c r="K8" s="386">
        <f t="shared" si="4"/>
        <v>1</v>
      </c>
      <c r="L8" s="386">
        <f>VLOOKUP($E8,'2015 Appr staffing table'!$D:$K, L$1, FALSE)</f>
        <v>3</v>
      </c>
      <c r="M8" s="310">
        <f>VLOOKUP($E8,'2015 Appr staffing table'!$D:$S, 15, FALSE)</f>
        <v>230686.3096649333</v>
      </c>
      <c r="N8" s="311">
        <f>VLOOKUP($E8,'2015 Appr staffing table'!$D:$S, 16, FALSE)</f>
        <v>196708.39898303937</v>
      </c>
      <c r="O8" s="123"/>
      <c r="P8" s="123"/>
      <c r="Q8" s="90">
        <v>1500</v>
      </c>
      <c r="R8" s="88">
        <v>8000</v>
      </c>
      <c r="S8" s="89">
        <v>11000</v>
      </c>
      <c r="T8" s="89"/>
      <c r="U8" s="89"/>
      <c r="V8" s="89">
        <v>14000</v>
      </c>
      <c r="W8" s="89">
        <v>3000</v>
      </c>
      <c r="X8" s="89">
        <v>1000</v>
      </c>
      <c r="Y8" s="89">
        <v>1000</v>
      </c>
      <c r="Z8" s="89">
        <v>1000</v>
      </c>
      <c r="AA8" s="89">
        <v>500</v>
      </c>
      <c r="AB8" s="123">
        <v>1800</v>
      </c>
      <c r="AC8" s="181"/>
      <c r="AD8" s="184"/>
      <c r="AE8" s="184"/>
      <c r="AF8" s="184"/>
      <c r="AG8" s="420"/>
      <c r="AH8" s="10">
        <f t="shared" si="0"/>
        <v>428894.70864797267</v>
      </c>
      <c r="AI8" s="9">
        <f t="shared" si="1"/>
        <v>41300</v>
      </c>
      <c r="AJ8" s="202">
        <f t="shared" si="2"/>
        <v>470194.70864797267</v>
      </c>
    </row>
    <row r="9" spans="1:36" x14ac:dyDescent="0.3">
      <c r="A9" s="160">
        <f t="shared" si="3"/>
        <v>5</v>
      </c>
      <c r="B9" s="8" t="s">
        <v>32</v>
      </c>
      <c r="C9" s="8" t="s">
        <v>33</v>
      </c>
      <c r="D9" s="8" t="s">
        <v>328</v>
      </c>
      <c r="E9" s="11" t="s">
        <v>34</v>
      </c>
      <c r="F9" s="386">
        <f>VLOOKUP($E9,'2015 Appr staffing table'!$D:$K, F$1, FALSE)</f>
        <v>0</v>
      </c>
      <c r="G9" s="386">
        <f>VLOOKUP($E9,'2015 Appr staffing table'!$D:$K, G$1, FALSE)</f>
        <v>0</v>
      </c>
      <c r="H9" s="386">
        <f>VLOOKUP($E9,'2015 Appr staffing table'!$D:$K, H$1, FALSE)</f>
        <v>1</v>
      </c>
      <c r="I9" s="386">
        <f>VLOOKUP($E9,'2015 Appr staffing table'!$D:$K, I$1, FALSE)</f>
        <v>0</v>
      </c>
      <c r="J9" s="386">
        <f>VLOOKUP($E9,'2015 Appr staffing table'!$D:$K, J$1, FALSE)</f>
        <v>0</v>
      </c>
      <c r="K9" s="386">
        <f t="shared" si="4"/>
        <v>1</v>
      </c>
      <c r="L9" s="386">
        <f>VLOOKUP($E9,'2015 Appr staffing table'!$D:$K, L$1, FALSE)</f>
        <v>2</v>
      </c>
      <c r="M9" s="310">
        <f>VLOOKUP($E9,'2015 Appr staffing table'!$D:$S, 15, FALSE)</f>
        <v>181374.00567211665</v>
      </c>
      <c r="N9" s="311">
        <f>VLOOKUP($E9,'2015 Appr staffing table'!$D:$S, 16, FALSE)</f>
        <v>103458.92811833588</v>
      </c>
      <c r="O9" s="123"/>
      <c r="P9" s="123"/>
      <c r="Q9" s="90">
        <v>1000</v>
      </c>
      <c r="R9" s="88">
        <v>16000</v>
      </c>
      <c r="S9" s="89">
        <v>40000</v>
      </c>
      <c r="T9" s="89"/>
      <c r="U9" s="89"/>
      <c r="V9" s="89">
        <v>10000</v>
      </c>
      <c r="W9" s="89">
        <v>3000</v>
      </c>
      <c r="X9" s="89">
        <v>3000</v>
      </c>
      <c r="Y9" s="89">
        <v>2500</v>
      </c>
      <c r="Z9" s="89">
        <v>1000</v>
      </c>
      <c r="AA9" s="89">
        <v>500</v>
      </c>
      <c r="AB9" s="123">
        <v>1000</v>
      </c>
      <c r="AC9" s="181"/>
      <c r="AD9" s="184"/>
      <c r="AE9" s="184"/>
      <c r="AF9" s="184"/>
      <c r="AG9" s="420"/>
      <c r="AH9" s="10">
        <f t="shared" si="0"/>
        <v>285832.93379045255</v>
      </c>
      <c r="AI9" s="9">
        <f t="shared" si="1"/>
        <v>77000</v>
      </c>
      <c r="AJ9" s="202">
        <f t="shared" si="2"/>
        <v>362832.93379045255</v>
      </c>
    </row>
    <row r="10" spans="1:36" x14ac:dyDescent="0.3">
      <c r="A10" s="160">
        <f t="shared" si="3"/>
        <v>6</v>
      </c>
      <c r="B10" s="8" t="s">
        <v>35</v>
      </c>
      <c r="C10" s="8" t="s">
        <v>36</v>
      </c>
      <c r="D10" s="8" t="s">
        <v>328</v>
      </c>
      <c r="E10" s="11" t="s">
        <v>37</v>
      </c>
      <c r="F10" s="386">
        <f>VLOOKUP($E10,'2015 Appr staffing table'!$D:$K, F$1, FALSE)</f>
        <v>0</v>
      </c>
      <c r="G10" s="386">
        <f>VLOOKUP($E10,'2015 Appr staffing table'!$D:$K, G$1, FALSE)</f>
        <v>0</v>
      </c>
      <c r="H10" s="386">
        <f>VLOOKUP($E10,'2015 Appr staffing table'!$D:$K, H$1, FALSE)</f>
        <v>1</v>
      </c>
      <c r="I10" s="386">
        <f>VLOOKUP($E10,'2015 Appr staffing table'!$D:$K, I$1, FALSE)</f>
        <v>0</v>
      </c>
      <c r="J10" s="386">
        <f>VLOOKUP($E10,'2015 Appr staffing table'!$D:$K, J$1, FALSE)</f>
        <v>0</v>
      </c>
      <c r="K10" s="386">
        <f t="shared" si="4"/>
        <v>1</v>
      </c>
      <c r="L10" s="386">
        <f>VLOOKUP($E10,'2015 Appr staffing table'!$D:$K, L$1, FALSE)</f>
        <v>2</v>
      </c>
      <c r="M10" s="310">
        <f>VLOOKUP($E10,'2015 Appr staffing table'!$D:$S, 15, FALSE)</f>
        <v>195836.98550035834</v>
      </c>
      <c r="N10" s="311">
        <f>VLOOKUP($E10,'2015 Appr staffing table'!$D:$S, 16, FALSE)</f>
        <v>49048.999640516158</v>
      </c>
      <c r="O10" s="123"/>
      <c r="P10" s="123"/>
      <c r="Q10" s="90">
        <v>1000</v>
      </c>
      <c r="R10" s="88">
        <v>6500</v>
      </c>
      <c r="S10" s="89">
        <v>7800</v>
      </c>
      <c r="T10" s="89"/>
      <c r="U10" s="89"/>
      <c r="V10" s="89">
        <v>2500</v>
      </c>
      <c r="W10" s="89">
        <v>1500</v>
      </c>
      <c r="X10" s="89">
        <v>2000</v>
      </c>
      <c r="Y10" s="89">
        <v>1000</v>
      </c>
      <c r="Z10" s="89">
        <v>1000</v>
      </c>
      <c r="AA10" s="89">
        <v>500</v>
      </c>
      <c r="AB10" s="123">
        <v>1400</v>
      </c>
      <c r="AC10" s="181"/>
      <c r="AD10" s="184"/>
      <c r="AE10" s="184"/>
      <c r="AF10" s="184"/>
      <c r="AG10" s="420"/>
      <c r="AH10" s="10">
        <f t="shared" si="0"/>
        <v>245885.98514087449</v>
      </c>
      <c r="AI10" s="9">
        <f t="shared" si="1"/>
        <v>24200</v>
      </c>
      <c r="AJ10" s="202">
        <f t="shared" si="2"/>
        <v>270085.98514087452</v>
      </c>
    </row>
    <row r="11" spans="1:36" x14ac:dyDescent="0.3">
      <c r="A11" s="160">
        <f t="shared" si="3"/>
        <v>7</v>
      </c>
      <c r="B11" s="8" t="s">
        <v>38</v>
      </c>
      <c r="C11" s="8" t="s">
        <v>39</v>
      </c>
      <c r="D11" s="8" t="s">
        <v>328</v>
      </c>
      <c r="E11" s="11" t="s">
        <v>40</v>
      </c>
      <c r="F11" s="386">
        <f>VLOOKUP($E11,'2015 Appr staffing table'!$D:$K, F$1, FALSE)</f>
        <v>0</v>
      </c>
      <c r="G11" s="386">
        <f>VLOOKUP($E11,'2015 Appr staffing table'!$D:$K, G$1, FALSE)</f>
        <v>0</v>
      </c>
      <c r="H11" s="386">
        <f>VLOOKUP($E11,'2015 Appr staffing table'!$D:$K, H$1, FALSE)</f>
        <v>1</v>
      </c>
      <c r="I11" s="386">
        <f>VLOOKUP($E11,'2015 Appr staffing table'!$D:$K, I$1, FALSE)</f>
        <v>0</v>
      </c>
      <c r="J11" s="386">
        <f>VLOOKUP($E11,'2015 Appr staffing table'!$D:$K, J$1, FALSE)</f>
        <v>0</v>
      </c>
      <c r="K11" s="386">
        <f t="shared" si="4"/>
        <v>1</v>
      </c>
      <c r="L11" s="386">
        <f>VLOOKUP($E11,'2015 Appr staffing table'!$D:$K, L$1, FALSE)</f>
        <v>2</v>
      </c>
      <c r="M11" s="310">
        <f>VLOOKUP($E11,'2015 Appr staffing table'!$D:$S, 15, FALSE)</f>
        <v>209394.58693964165</v>
      </c>
      <c r="N11" s="311">
        <f>VLOOKUP($E11,'2015 Appr staffing table'!$D:$S, 16, FALSE)</f>
        <v>93512.031829622065</v>
      </c>
      <c r="O11" s="123"/>
      <c r="P11" s="123"/>
      <c r="Q11" s="90">
        <v>1000</v>
      </c>
      <c r="R11" s="88">
        <v>6500</v>
      </c>
      <c r="S11" s="89">
        <f>6000-400</f>
        <v>5600</v>
      </c>
      <c r="T11" s="89"/>
      <c r="U11" s="89"/>
      <c r="V11" s="89">
        <f>4500+3000</f>
        <v>7500</v>
      </c>
      <c r="W11" s="89">
        <v>1500</v>
      </c>
      <c r="X11" s="89">
        <v>1500</v>
      </c>
      <c r="Y11" s="89">
        <v>1000</v>
      </c>
      <c r="Z11" s="89">
        <f>1000-1000</f>
        <v>0</v>
      </c>
      <c r="AA11" s="89">
        <v>500</v>
      </c>
      <c r="AB11" s="123">
        <v>1600</v>
      </c>
      <c r="AC11" s="181"/>
      <c r="AD11" s="184"/>
      <c r="AE11" s="184"/>
      <c r="AF11" s="184"/>
      <c r="AG11" s="420"/>
      <c r="AH11" s="10">
        <f t="shared" si="0"/>
        <v>303906.61876926373</v>
      </c>
      <c r="AI11" s="9">
        <f t="shared" si="1"/>
        <v>25700</v>
      </c>
      <c r="AJ11" s="202">
        <f t="shared" si="2"/>
        <v>329606.61876926373</v>
      </c>
    </row>
    <row r="12" spans="1:36" x14ac:dyDescent="0.3">
      <c r="A12" s="160">
        <f t="shared" si="3"/>
        <v>8</v>
      </c>
      <c r="B12" s="8" t="s">
        <v>41</v>
      </c>
      <c r="C12" s="8" t="s">
        <v>42</v>
      </c>
      <c r="D12" s="8" t="s">
        <v>327</v>
      </c>
      <c r="E12" s="11" t="s">
        <v>43</v>
      </c>
      <c r="F12" s="386">
        <f>VLOOKUP($E12,'2015 Appr staffing table'!$D:$K, F$1, FALSE)</f>
        <v>0</v>
      </c>
      <c r="G12" s="386">
        <f>VLOOKUP($E12,'2015 Appr staffing table'!$D:$K, G$1, FALSE)</f>
        <v>0</v>
      </c>
      <c r="H12" s="386">
        <f>VLOOKUP($E12,'2015 Appr staffing table'!$D:$K, H$1, FALSE)</f>
        <v>1</v>
      </c>
      <c r="I12" s="386">
        <f>VLOOKUP($E12,'2015 Appr staffing table'!$D:$K, I$1, FALSE)</f>
        <v>1</v>
      </c>
      <c r="J12" s="386">
        <f>VLOOKUP($E12,'2015 Appr staffing table'!$D:$K, J$1, FALSE)</f>
        <v>0</v>
      </c>
      <c r="K12" s="386">
        <f t="shared" si="4"/>
        <v>2</v>
      </c>
      <c r="L12" s="386">
        <f>VLOOKUP($E12,'2015 Appr staffing table'!$D:$K, L$1, FALSE)</f>
        <v>3</v>
      </c>
      <c r="M12" s="310">
        <f>VLOOKUP($E12,'2015 Appr staffing table'!$D:$S, 15, FALSE)</f>
        <v>359060.63353305298</v>
      </c>
      <c r="N12" s="311">
        <f>VLOOKUP($E12,'2015 Appr staffing table'!$D:$S, 16, FALSE)</f>
        <v>74676.405985199992</v>
      </c>
      <c r="O12" s="123"/>
      <c r="P12" s="123"/>
      <c r="Q12" s="90">
        <v>1500</v>
      </c>
      <c r="R12" s="88">
        <v>6000</v>
      </c>
      <c r="S12" s="113">
        <v>17500</v>
      </c>
      <c r="T12" s="113"/>
      <c r="U12" s="113"/>
      <c r="V12" s="89">
        <v>3500</v>
      </c>
      <c r="W12" s="89">
        <v>2300</v>
      </c>
      <c r="X12" s="113">
        <v>2200</v>
      </c>
      <c r="Y12" s="89">
        <v>700</v>
      </c>
      <c r="Z12" s="89">
        <v>0</v>
      </c>
      <c r="AA12" s="89">
        <v>1300</v>
      </c>
      <c r="AB12" s="123">
        <v>500</v>
      </c>
      <c r="AC12" s="181"/>
      <c r="AD12" s="184"/>
      <c r="AE12" s="184"/>
      <c r="AF12" s="184"/>
      <c r="AG12" s="420"/>
      <c r="AH12" s="10">
        <f t="shared" si="0"/>
        <v>435237.03951825295</v>
      </c>
      <c r="AI12" s="9">
        <f t="shared" si="1"/>
        <v>34000</v>
      </c>
      <c r="AJ12" s="202">
        <f t="shared" si="2"/>
        <v>469237.03951825295</v>
      </c>
    </row>
    <row r="13" spans="1:36" x14ac:dyDescent="0.3">
      <c r="A13" s="160">
        <f t="shared" si="3"/>
        <v>9</v>
      </c>
      <c r="B13" s="8" t="s">
        <v>44</v>
      </c>
      <c r="C13" s="8" t="s">
        <v>45</v>
      </c>
      <c r="D13" s="117" t="s">
        <v>423</v>
      </c>
      <c r="E13" s="11" t="s">
        <v>46</v>
      </c>
      <c r="F13" s="386">
        <f>VLOOKUP($E13,'2015 Appr staffing table'!$D:$K, F$1, FALSE)</f>
        <v>0</v>
      </c>
      <c r="G13" s="386">
        <f>VLOOKUP($E13,'2015 Appr staffing table'!$D:$K, G$1, FALSE)</f>
        <v>0</v>
      </c>
      <c r="H13" s="386">
        <f>VLOOKUP($E13,'2015 Appr staffing table'!$D:$K, H$1, FALSE)</f>
        <v>1</v>
      </c>
      <c r="I13" s="386">
        <f>VLOOKUP($E13,'2015 Appr staffing table'!$D:$K, I$1, FALSE)</f>
        <v>0</v>
      </c>
      <c r="J13" s="386">
        <f>VLOOKUP($E13,'2015 Appr staffing table'!$D:$K, J$1, FALSE)</f>
        <v>0</v>
      </c>
      <c r="K13" s="386">
        <f t="shared" si="4"/>
        <v>1</v>
      </c>
      <c r="L13" s="386">
        <f>VLOOKUP($E13,'2015 Appr staffing table'!$D:$K, L$1, FALSE)</f>
        <v>2</v>
      </c>
      <c r="M13" s="310">
        <f>VLOOKUP($E13,'2015 Appr staffing table'!$D:$S, 15, FALSE)</f>
        <v>190160.1894949</v>
      </c>
      <c r="N13" s="311">
        <f>VLOOKUP($E13,'2015 Appr staffing table'!$D:$S, 16, FALSE)</f>
        <v>61089.244772636528</v>
      </c>
      <c r="O13" s="123"/>
      <c r="P13" s="123"/>
      <c r="Q13" s="90">
        <v>1000</v>
      </c>
      <c r="R13" s="88">
        <v>2000</v>
      </c>
      <c r="S13" s="89">
        <v>14700</v>
      </c>
      <c r="T13" s="89"/>
      <c r="U13" s="89"/>
      <c r="V13" s="89">
        <v>5000</v>
      </c>
      <c r="W13" s="89">
        <v>1000</v>
      </c>
      <c r="X13" s="89">
        <v>1000</v>
      </c>
      <c r="Y13" s="89">
        <v>1000</v>
      </c>
      <c r="Z13" s="89">
        <v>1000</v>
      </c>
      <c r="AA13" s="89">
        <v>500</v>
      </c>
      <c r="AB13" s="123">
        <v>500</v>
      </c>
      <c r="AC13" s="181"/>
      <c r="AD13" s="184"/>
      <c r="AE13" s="184"/>
      <c r="AF13" s="184"/>
      <c r="AG13" s="420"/>
      <c r="AH13" s="10">
        <f t="shared" si="0"/>
        <v>252249.43426753653</v>
      </c>
      <c r="AI13" s="9">
        <f t="shared" si="1"/>
        <v>26700</v>
      </c>
      <c r="AJ13" s="202">
        <f t="shared" si="2"/>
        <v>278949.4342675365</v>
      </c>
    </row>
    <row r="14" spans="1:36" x14ac:dyDescent="0.3">
      <c r="A14" s="160">
        <f t="shared" si="3"/>
        <v>10</v>
      </c>
      <c r="B14" s="8" t="s">
        <v>47</v>
      </c>
      <c r="C14" s="8" t="s">
        <v>48</v>
      </c>
      <c r="D14" s="8" t="s">
        <v>328</v>
      </c>
      <c r="E14" s="11" t="s">
        <v>49</v>
      </c>
      <c r="F14" s="386">
        <f>VLOOKUP($E14,'2015 Appr staffing table'!$D:$K, F$1, FALSE)</f>
        <v>0</v>
      </c>
      <c r="G14" s="386">
        <f>VLOOKUP($E14,'2015 Appr staffing table'!$D:$K, G$1, FALSE)</f>
        <v>0</v>
      </c>
      <c r="H14" s="386">
        <f>VLOOKUP($E14,'2015 Appr staffing table'!$D:$K, H$1, FALSE)</f>
        <v>1</v>
      </c>
      <c r="I14" s="386">
        <f>VLOOKUP($E14,'2015 Appr staffing table'!$D:$K, I$1, FALSE)</f>
        <v>0</v>
      </c>
      <c r="J14" s="386">
        <f>VLOOKUP($E14,'2015 Appr staffing table'!$D:$K, J$1, FALSE)</f>
        <v>0</v>
      </c>
      <c r="K14" s="386">
        <f t="shared" si="4"/>
        <v>1</v>
      </c>
      <c r="L14" s="386">
        <f>VLOOKUP($E14,'2015 Appr staffing table'!$D:$K, L$1, FALSE)</f>
        <v>2</v>
      </c>
      <c r="M14" s="310">
        <f>VLOOKUP($E14,'2015 Appr staffing table'!$D:$S, 15, FALSE)</f>
        <v>182948.21073245001</v>
      </c>
      <c r="N14" s="311">
        <f>VLOOKUP($E14,'2015 Appr staffing table'!$D:$S, 16, FALSE)</f>
        <v>81749.003769919524</v>
      </c>
      <c r="O14" s="123"/>
      <c r="P14" s="123"/>
      <c r="Q14" s="90">
        <v>1000</v>
      </c>
      <c r="R14" s="88">
        <v>6000</v>
      </c>
      <c r="S14" s="129">
        <v>16700</v>
      </c>
      <c r="T14" s="89"/>
      <c r="U14" s="89"/>
      <c r="V14" s="89">
        <v>5500</v>
      </c>
      <c r="W14" s="89">
        <v>2200</v>
      </c>
      <c r="X14" s="89">
        <v>1300</v>
      </c>
      <c r="Y14" s="89">
        <v>1300</v>
      </c>
      <c r="Z14" s="89">
        <v>1000</v>
      </c>
      <c r="AA14" s="89">
        <v>500</v>
      </c>
      <c r="AB14" s="130">
        <v>2000</v>
      </c>
      <c r="AC14" s="181"/>
      <c r="AD14" s="184"/>
      <c r="AE14" s="184"/>
      <c r="AF14" s="184"/>
      <c r="AG14" s="420"/>
      <c r="AH14" s="10">
        <f t="shared" si="0"/>
        <v>265697.21450236952</v>
      </c>
      <c r="AI14" s="9">
        <f t="shared" si="1"/>
        <v>36500</v>
      </c>
      <c r="AJ14" s="202">
        <f t="shared" si="2"/>
        <v>302197.21450236952</v>
      </c>
    </row>
    <row r="15" spans="1:36" x14ac:dyDescent="0.3">
      <c r="A15" s="160">
        <f t="shared" si="3"/>
        <v>11</v>
      </c>
      <c r="B15" s="117" t="s">
        <v>414</v>
      </c>
      <c r="C15" s="8" t="s">
        <v>355</v>
      </c>
      <c r="D15" s="8" t="s">
        <v>328</v>
      </c>
      <c r="E15" s="11" t="s">
        <v>52</v>
      </c>
      <c r="F15" s="386">
        <f>VLOOKUP($E15,'2015 Appr staffing table'!$D:$K, F$1, FALSE)</f>
        <v>0</v>
      </c>
      <c r="G15" s="386">
        <f>VLOOKUP($E15,'2015 Appr staffing table'!$D:$K, G$1, FALSE)</f>
        <v>0</v>
      </c>
      <c r="H15" s="386">
        <f>VLOOKUP($E15,'2015 Appr staffing table'!$D:$K, H$1, FALSE)</f>
        <v>1</v>
      </c>
      <c r="I15" s="386">
        <f>VLOOKUP($E15,'2015 Appr staffing table'!$D:$K, I$1, FALSE)</f>
        <v>0</v>
      </c>
      <c r="J15" s="386">
        <f>VLOOKUP($E15,'2015 Appr staffing table'!$D:$K, J$1, FALSE)</f>
        <v>0</v>
      </c>
      <c r="K15" s="386">
        <f t="shared" si="4"/>
        <v>1</v>
      </c>
      <c r="L15" s="386">
        <f>VLOOKUP($E15,'2015 Appr staffing table'!$D:$K, L$1, FALSE)</f>
        <v>2</v>
      </c>
      <c r="M15" s="310">
        <f>VLOOKUP($E15,'2015 Appr staffing table'!$D:$S, 15, FALSE)</f>
        <v>175348.04641024169</v>
      </c>
      <c r="N15" s="311">
        <f>VLOOKUP($E15,'2015 Appr staffing table'!$D:$S, 16, FALSE)</f>
        <v>80855.439478693443</v>
      </c>
      <c r="O15" s="123"/>
      <c r="P15" s="123"/>
      <c r="Q15" s="90">
        <v>1000</v>
      </c>
      <c r="R15" s="88">
        <v>18000</v>
      </c>
      <c r="S15" s="89">
        <v>25600</v>
      </c>
      <c r="T15" s="89"/>
      <c r="U15" s="89"/>
      <c r="V15" s="89">
        <v>4800</v>
      </c>
      <c r="W15" s="89">
        <v>1400</v>
      </c>
      <c r="X15" s="89">
        <v>4300</v>
      </c>
      <c r="Y15" s="89">
        <v>700</v>
      </c>
      <c r="Z15" s="89">
        <v>1000</v>
      </c>
      <c r="AA15" s="89">
        <v>500</v>
      </c>
      <c r="AB15" s="123">
        <v>700</v>
      </c>
      <c r="AC15" s="181"/>
      <c r="AD15" s="184"/>
      <c r="AE15" s="184"/>
      <c r="AF15" s="184"/>
      <c r="AG15" s="420"/>
      <c r="AH15" s="10">
        <f t="shared" si="0"/>
        <v>257203.48588893513</v>
      </c>
      <c r="AI15" s="9">
        <f t="shared" si="1"/>
        <v>57000</v>
      </c>
      <c r="AJ15" s="202">
        <f t="shared" si="2"/>
        <v>314203.48588893516</v>
      </c>
    </row>
    <row r="16" spans="1:36" x14ac:dyDescent="0.3">
      <c r="A16" s="160">
        <f t="shared" si="3"/>
        <v>12</v>
      </c>
      <c r="B16" s="117" t="s">
        <v>364</v>
      </c>
      <c r="C16" s="8" t="s">
        <v>53</v>
      </c>
      <c r="D16" s="117" t="s">
        <v>423</v>
      </c>
      <c r="E16" s="11" t="s">
        <v>54</v>
      </c>
      <c r="F16" s="386">
        <f>VLOOKUP($E16,'2015 Appr staffing table'!$D:$K, F$1, FALSE)</f>
        <v>0</v>
      </c>
      <c r="G16" s="386">
        <f>VLOOKUP($E16,'2015 Appr staffing table'!$D:$K, G$1, FALSE)</f>
        <v>0</v>
      </c>
      <c r="H16" s="386">
        <f>VLOOKUP($E16,'2015 Appr staffing table'!$D:$K, H$1, FALSE)</f>
        <v>0</v>
      </c>
      <c r="I16" s="386">
        <f>VLOOKUP($E16,'2015 Appr staffing table'!$D:$K, I$1, FALSE)</f>
        <v>0</v>
      </c>
      <c r="J16" s="386">
        <f>VLOOKUP($E16,'2015 Appr staffing table'!$D:$K, J$1, FALSE)</f>
        <v>0</v>
      </c>
      <c r="K16" s="386">
        <f t="shared" si="4"/>
        <v>0</v>
      </c>
      <c r="L16" s="386">
        <f>VLOOKUP($E16,'2015 Appr staffing table'!$D:$K, L$1, FALSE)</f>
        <v>2</v>
      </c>
      <c r="M16" s="310">
        <f>VLOOKUP($E16,'2015 Appr staffing table'!$D:$S, 15, FALSE)</f>
        <v>0</v>
      </c>
      <c r="N16" s="311">
        <f>VLOOKUP($E16,'2015 Appr staffing table'!$D:$S, 16, FALSE)</f>
        <v>69792.725264463792</v>
      </c>
      <c r="O16" s="123"/>
      <c r="P16" s="123"/>
      <c r="Q16" s="90">
        <v>1000</v>
      </c>
      <c r="R16" s="88">
        <v>1500</v>
      </c>
      <c r="S16" s="89">
        <f>7000+6350</f>
        <v>13350</v>
      </c>
      <c r="T16" s="89"/>
      <c r="U16" s="89"/>
      <c r="V16" s="89">
        <f>1200+3450</f>
        <v>4650</v>
      </c>
      <c r="W16" s="89">
        <v>0</v>
      </c>
      <c r="X16" s="89">
        <f>0+1500</f>
        <v>1500</v>
      </c>
      <c r="Y16" s="89">
        <v>1000</v>
      </c>
      <c r="Z16" s="89">
        <v>800</v>
      </c>
      <c r="AA16" s="89">
        <v>500</v>
      </c>
      <c r="AB16" s="123">
        <v>500</v>
      </c>
      <c r="AC16" s="181"/>
      <c r="AD16" s="184"/>
      <c r="AE16" s="184"/>
      <c r="AF16" s="184"/>
      <c r="AG16" s="420"/>
      <c r="AH16" s="10">
        <f t="shared" si="0"/>
        <v>70792.725264463792</v>
      </c>
      <c r="AI16" s="9">
        <f t="shared" si="1"/>
        <v>23800</v>
      </c>
      <c r="AJ16" s="202">
        <f t="shared" si="2"/>
        <v>94592.725264463792</v>
      </c>
    </row>
    <row r="17" spans="1:36" x14ac:dyDescent="0.3">
      <c r="A17" s="160">
        <f t="shared" si="3"/>
        <v>13</v>
      </c>
      <c r="B17" s="8" t="s">
        <v>55</v>
      </c>
      <c r="C17" s="8" t="s">
        <v>56</v>
      </c>
      <c r="D17" s="8" t="s">
        <v>328</v>
      </c>
      <c r="E17" s="11" t="s">
        <v>57</v>
      </c>
      <c r="F17" s="386">
        <f>VLOOKUP($E17,'2015 Appr staffing table'!$D:$K, F$1, FALSE)</f>
        <v>0</v>
      </c>
      <c r="G17" s="386">
        <f>VLOOKUP($E17,'2015 Appr staffing table'!$D:$K, G$1, FALSE)</f>
        <v>0</v>
      </c>
      <c r="H17" s="386">
        <f>VLOOKUP($E17,'2015 Appr staffing table'!$D:$K, H$1, FALSE)</f>
        <v>1</v>
      </c>
      <c r="I17" s="386">
        <f>VLOOKUP($E17,'2015 Appr staffing table'!$D:$K, I$1, FALSE)</f>
        <v>1</v>
      </c>
      <c r="J17" s="386">
        <f>VLOOKUP($E17,'2015 Appr staffing table'!$D:$K, J$1, FALSE)</f>
        <v>0</v>
      </c>
      <c r="K17" s="386">
        <f t="shared" si="4"/>
        <v>2</v>
      </c>
      <c r="L17" s="386">
        <f>VLOOKUP($E17,'2015 Appr staffing table'!$D:$K, L$1, FALSE)</f>
        <v>3</v>
      </c>
      <c r="M17" s="310">
        <f>VLOOKUP($E17,'2015 Appr staffing table'!$D:$S, 15, FALSE)</f>
        <v>379518.42381358141</v>
      </c>
      <c r="N17" s="311">
        <f>VLOOKUP($E17,'2015 Appr staffing table'!$D:$S, 16, FALSE)</f>
        <v>156711.81791592657</v>
      </c>
      <c r="O17" s="123"/>
      <c r="P17" s="123"/>
      <c r="Q17" s="90">
        <v>1500</v>
      </c>
      <c r="R17" s="88">
        <v>25000</v>
      </c>
      <c r="S17" s="89">
        <v>38000</v>
      </c>
      <c r="T17" s="89"/>
      <c r="U17" s="89"/>
      <c r="V17" s="89">
        <v>12000</v>
      </c>
      <c r="W17" s="89">
        <v>1500</v>
      </c>
      <c r="X17" s="89">
        <v>4000</v>
      </c>
      <c r="Y17" s="89">
        <v>1200</v>
      </c>
      <c r="Z17" s="89">
        <v>1000</v>
      </c>
      <c r="AA17" s="89">
        <v>1000</v>
      </c>
      <c r="AB17" s="123">
        <v>4500</v>
      </c>
      <c r="AC17" s="181"/>
      <c r="AD17" s="184"/>
      <c r="AE17" s="184"/>
      <c r="AF17" s="184"/>
      <c r="AG17" s="420"/>
      <c r="AH17" s="10">
        <f t="shared" si="0"/>
        <v>537730.24172950792</v>
      </c>
      <c r="AI17" s="9">
        <f t="shared" si="1"/>
        <v>88200</v>
      </c>
      <c r="AJ17" s="202">
        <f t="shared" si="2"/>
        <v>625930.24172950792</v>
      </c>
    </row>
    <row r="18" spans="1:36" x14ac:dyDescent="0.3">
      <c r="A18" s="160">
        <f t="shared" si="3"/>
        <v>14</v>
      </c>
      <c r="B18" s="117" t="s">
        <v>365</v>
      </c>
      <c r="C18" s="8" t="s">
        <v>58</v>
      </c>
      <c r="D18" s="117" t="s">
        <v>423</v>
      </c>
      <c r="E18" s="11" t="s">
        <v>59</v>
      </c>
      <c r="F18" s="386">
        <f>VLOOKUP($E18,'2015 Appr staffing table'!$D:$K, F$1, FALSE)</f>
        <v>0</v>
      </c>
      <c r="G18" s="386">
        <f>VLOOKUP($E18,'2015 Appr staffing table'!$D:$K, G$1, FALSE)</f>
        <v>0</v>
      </c>
      <c r="H18" s="386">
        <f>VLOOKUP($E18,'2015 Appr staffing table'!$D:$K, H$1, FALSE)</f>
        <v>1</v>
      </c>
      <c r="I18" s="386">
        <f>VLOOKUP($E18,'2015 Appr staffing table'!$D:$K, I$1, FALSE)</f>
        <v>0</v>
      </c>
      <c r="J18" s="386">
        <f>VLOOKUP($E18,'2015 Appr staffing table'!$D:$K, J$1, FALSE)</f>
        <v>0</v>
      </c>
      <c r="K18" s="386">
        <f t="shared" si="4"/>
        <v>1</v>
      </c>
      <c r="L18" s="386">
        <f>VLOOKUP($E18,'2015 Appr staffing table'!$D:$K, L$1, FALSE)</f>
        <v>2</v>
      </c>
      <c r="M18" s="310">
        <f>VLOOKUP($E18,'2015 Appr staffing table'!$D:$S, 15, FALSE)</f>
        <v>185840.67117815002</v>
      </c>
      <c r="N18" s="311">
        <f>VLOOKUP($E18,'2015 Appr staffing table'!$D:$S, 16, FALSE)</f>
        <v>64995.138956953015</v>
      </c>
      <c r="O18" s="123"/>
      <c r="P18" s="123"/>
      <c r="Q18" s="90">
        <v>1000</v>
      </c>
      <c r="R18" s="88">
        <v>2000</v>
      </c>
      <c r="S18" s="89">
        <v>12200</v>
      </c>
      <c r="T18" s="89"/>
      <c r="U18" s="89"/>
      <c r="V18" s="89">
        <v>1500</v>
      </c>
      <c r="W18" s="89">
        <v>1500</v>
      </c>
      <c r="X18" s="89">
        <v>3000</v>
      </c>
      <c r="Y18" s="89">
        <v>1000</v>
      </c>
      <c r="Z18" s="89">
        <v>1000</v>
      </c>
      <c r="AA18" s="89">
        <v>500</v>
      </c>
      <c r="AB18" s="123">
        <v>700</v>
      </c>
      <c r="AC18" s="182"/>
      <c r="AD18" s="185"/>
      <c r="AE18" s="185"/>
      <c r="AF18" s="185"/>
      <c r="AG18" s="421"/>
      <c r="AH18" s="10">
        <f t="shared" si="0"/>
        <v>251835.81013510303</v>
      </c>
      <c r="AI18" s="9">
        <f t="shared" si="1"/>
        <v>23400</v>
      </c>
      <c r="AJ18" s="202">
        <f t="shared" si="2"/>
        <v>275235.81013510306</v>
      </c>
    </row>
    <row r="19" spans="1:36" x14ac:dyDescent="0.3">
      <c r="A19" s="160">
        <f t="shared" si="3"/>
        <v>15</v>
      </c>
      <c r="B19" s="8" t="s">
        <v>60</v>
      </c>
      <c r="C19" s="8" t="s">
        <v>61</v>
      </c>
      <c r="D19" s="117" t="s">
        <v>423</v>
      </c>
      <c r="E19" s="11" t="s">
        <v>62</v>
      </c>
      <c r="F19" s="386">
        <f>VLOOKUP($E19,'2015 Appr staffing table'!$D:$K, F$1, FALSE)</f>
        <v>0</v>
      </c>
      <c r="G19" s="386">
        <f>VLOOKUP($E19,'2015 Appr staffing table'!$D:$K, G$1, FALSE)</f>
        <v>0</v>
      </c>
      <c r="H19" s="386">
        <f>VLOOKUP($E19,'2015 Appr staffing table'!$D:$K, H$1, FALSE)</f>
        <v>1</v>
      </c>
      <c r="I19" s="386">
        <f>VLOOKUP($E19,'2015 Appr staffing table'!$D:$K, I$1, FALSE)</f>
        <v>2</v>
      </c>
      <c r="J19" s="386">
        <f>VLOOKUP($E19,'2015 Appr staffing table'!$D:$K, J$1, FALSE)</f>
        <v>0</v>
      </c>
      <c r="K19" s="386">
        <f t="shared" si="4"/>
        <v>3</v>
      </c>
      <c r="L19" s="386">
        <f>VLOOKUP($E19,'2015 Appr staffing table'!$D:$K, L$1, FALSE)</f>
        <v>4</v>
      </c>
      <c r="M19" s="310">
        <f>VLOOKUP($E19,'2015 Appr staffing table'!$D:$S, 15, FALSE)</f>
        <v>539147.04451813514</v>
      </c>
      <c r="N19" s="311">
        <f>VLOOKUP($E19,'2015 Appr staffing table'!$D:$S, 16, FALSE)</f>
        <v>111380.5231886363</v>
      </c>
      <c r="O19" s="123"/>
      <c r="P19" s="123"/>
      <c r="Q19" s="90">
        <v>2500</v>
      </c>
      <c r="R19" s="88">
        <v>4000</v>
      </c>
      <c r="S19" s="89">
        <f>6000-6000</f>
        <v>0</v>
      </c>
      <c r="T19" s="89"/>
      <c r="U19" s="89"/>
      <c r="V19" s="89">
        <f>6500+2000</f>
        <v>8500</v>
      </c>
      <c r="W19" s="89">
        <f>5000-1500</f>
        <v>3500</v>
      </c>
      <c r="X19" s="89">
        <f>7500+1500</f>
        <v>9000</v>
      </c>
      <c r="Y19" s="89">
        <v>2000</v>
      </c>
      <c r="Z19" s="89"/>
      <c r="AA19" s="89">
        <v>500</v>
      </c>
      <c r="AB19" s="123">
        <f>500+500-200</f>
        <v>800</v>
      </c>
      <c r="AC19" s="181"/>
      <c r="AD19" s="184"/>
      <c r="AE19" s="184"/>
      <c r="AF19" s="184"/>
      <c r="AG19" s="420"/>
      <c r="AH19" s="10">
        <f t="shared" si="0"/>
        <v>653027.56770677143</v>
      </c>
      <c r="AI19" s="9">
        <f t="shared" si="1"/>
        <v>28300</v>
      </c>
      <c r="AJ19" s="203">
        <f t="shared" si="2"/>
        <v>681327.56770677143</v>
      </c>
    </row>
    <row r="20" spans="1:36" x14ac:dyDescent="0.3">
      <c r="A20" s="160">
        <f t="shared" si="3"/>
        <v>16</v>
      </c>
      <c r="B20" s="117" t="s">
        <v>388</v>
      </c>
      <c r="C20" s="8" t="s">
        <v>63</v>
      </c>
      <c r="D20" s="8" t="s">
        <v>327</v>
      </c>
      <c r="E20" s="11" t="s">
        <v>64</v>
      </c>
      <c r="F20" s="386">
        <f>VLOOKUP($E20,'2015 Appr staffing table'!$D:$K, F$1, FALSE)</f>
        <v>0</v>
      </c>
      <c r="G20" s="386">
        <f>VLOOKUP($E20,'2015 Appr staffing table'!$D:$K, G$1, FALSE)</f>
        <v>0</v>
      </c>
      <c r="H20" s="386">
        <f>VLOOKUP($E20,'2015 Appr staffing table'!$D:$K, H$1, FALSE)</f>
        <v>1</v>
      </c>
      <c r="I20" s="386">
        <f>VLOOKUP($E20,'2015 Appr staffing table'!$D:$K, I$1, FALSE)</f>
        <v>1</v>
      </c>
      <c r="J20" s="386">
        <f>VLOOKUP($E20,'2015 Appr staffing table'!$D:$K, J$1, FALSE)</f>
        <v>0</v>
      </c>
      <c r="K20" s="386">
        <f t="shared" si="4"/>
        <v>2</v>
      </c>
      <c r="L20" s="386">
        <f>VLOOKUP($E20,'2015 Appr staffing table'!$D:$K, L$1, FALSE)</f>
        <v>3</v>
      </c>
      <c r="M20" s="310">
        <f>VLOOKUP($E20,'2015 Appr staffing table'!$D:$S, 15, FALSE)</f>
        <v>336665.0056377491</v>
      </c>
      <c r="N20" s="311">
        <f>VLOOKUP($E20,'2015 Appr staffing table'!$D:$S, 16, FALSE)</f>
        <v>78345.731142019504</v>
      </c>
      <c r="O20" s="123"/>
      <c r="P20" s="123"/>
      <c r="Q20" s="90">
        <v>1500</v>
      </c>
      <c r="R20" s="88">
        <v>6000</v>
      </c>
      <c r="S20" s="89">
        <v>28000</v>
      </c>
      <c r="T20" s="89"/>
      <c r="U20" s="89"/>
      <c r="V20" s="89">
        <v>5000</v>
      </c>
      <c r="W20" s="89">
        <v>1500</v>
      </c>
      <c r="X20" s="89">
        <v>2000</v>
      </c>
      <c r="Y20" s="89">
        <v>2000</v>
      </c>
      <c r="Z20" s="89">
        <v>1000</v>
      </c>
      <c r="AA20" s="89">
        <v>1000</v>
      </c>
      <c r="AB20" s="123">
        <v>500</v>
      </c>
      <c r="AC20" s="181"/>
      <c r="AD20" s="184"/>
      <c r="AE20" s="184"/>
      <c r="AF20" s="184"/>
      <c r="AG20" s="420"/>
      <c r="AH20" s="10">
        <f t="shared" si="0"/>
        <v>416510.7367797686</v>
      </c>
      <c r="AI20" s="9">
        <f t="shared" si="1"/>
        <v>47000</v>
      </c>
      <c r="AJ20" s="202">
        <f t="shared" si="2"/>
        <v>463510.7367797686</v>
      </c>
    </row>
    <row r="21" spans="1:36" x14ac:dyDescent="0.3">
      <c r="A21" s="160">
        <f t="shared" si="3"/>
        <v>17</v>
      </c>
      <c r="B21" s="8" t="s">
        <v>65</v>
      </c>
      <c r="C21" s="8" t="s">
        <v>66</v>
      </c>
      <c r="D21" s="117" t="s">
        <v>423</v>
      </c>
      <c r="E21" s="11" t="s">
        <v>67</v>
      </c>
      <c r="F21" s="386">
        <f>VLOOKUP($E21,'2015 Appr staffing table'!$D:$K, F$1, FALSE)</f>
        <v>0</v>
      </c>
      <c r="G21" s="386">
        <f>VLOOKUP($E21,'2015 Appr staffing table'!$D:$K, G$1, FALSE)</f>
        <v>0</v>
      </c>
      <c r="H21" s="386">
        <f>VLOOKUP($E21,'2015 Appr staffing table'!$D:$K, H$1, FALSE)</f>
        <v>1</v>
      </c>
      <c r="I21" s="386">
        <f>VLOOKUP($E21,'2015 Appr staffing table'!$D:$K, I$1, FALSE)</f>
        <v>0</v>
      </c>
      <c r="J21" s="386">
        <f>VLOOKUP($E21,'2015 Appr staffing table'!$D:$K, J$1, FALSE)</f>
        <v>0</v>
      </c>
      <c r="K21" s="386">
        <f t="shared" si="4"/>
        <v>1</v>
      </c>
      <c r="L21" s="386">
        <f>VLOOKUP($E21,'2015 Appr staffing table'!$D:$K, L$1, FALSE)</f>
        <v>2</v>
      </c>
      <c r="M21" s="310">
        <f>VLOOKUP($E21,'2015 Appr staffing table'!$D:$S, 15, FALSE)</f>
        <v>190661.43858764999</v>
      </c>
      <c r="N21" s="311">
        <f>VLOOKUP($E21,'2015 Appr staffing table'!$D:$S, 16, FALSE)</f>
        <v>65107.692615218941</v>
      </c>
      <c r="O21" s="123"/>
      <c r="P21" s="123"/>
      <c r="Q21" s="90">
        <v>1000</v>
      </c>
      <c r="R21" s="88">
        <v>7000</v>
      </c>
      <c r="S21" s="89">
        <v>10300</v>
      </c>
      <c r="T21" s="89"/>
      <c r="U21" s="89"/>
      <c r="V21" s="89">
        <v>5500</v>
      </c>
      <c r="W21" s="89">
        <v>3600</v>
      </c>
      <c r="X21" s="89">
        <v>2250</v>
      </c>
      <c r="Y21" s="89">
        <v>500</v>
      </c>
      <c r="Z21" s="89"/>
      <c r="AA21" s="89">
        <v>500</v>
      </c>
      <c r="AB21" s="123">
        <v>1000</v>
      </c>
      <c r="AC21" s="181"/>
      <c r="AD21" s="184"/>
      <c r="AE21" s="184"/>
      <c r="AF21" s="184"/>
      <c r="AG21" s="420"/>
      <c r="AH21" s="10">
        <f t="shared" si="0"/>
        <v>256769.13120286894</v>
      </c>
      <c r="AI21" s="9">
        <f t="shared" si="1"/>
        <v>30650</v>
      </c>
      <c r="AJ21" s="202">
        <f t="shared" si="2"/>
        <v>287419.13120286894</v>
      </c>
    </row>
    <row r="22" spans="1:36" x14ac:dyDescent="0.3">
      <c r="A22" s="160">
        <f t="shared" si="3"/>
        <v>18</v>
      </c>
      <c r="B22" s="8" t="s">
        <v>68</v>
      </c>
      <c r="C22" s="8" t="s">
        <v>69</v>
      </c>
      <c r="D22" s="117" t="s">
        <v>423</v>
      </c>
      <c r="E22" s="11" t="s">
        <v>70</v>
      </c>
      <c r="F22" s="386">
        <f>VLOOKUP($E22,'2015 Appr staffing table'!$D:$K, F$1, FALSE)</f>
        <v>0</v>
      </c>
      <c r="G22" s="386">
        <f>VLOOKUP($E22,'2015 Appr staffing table'!$D:$K, G$1, FALSE)</f>
        <v>1</v>
      </c>
      <c r="H22" s="386">
        <f>VLOOKUP($E22,'2015 Appr staffing table'!$D:$K, H$1, FALSE)</f>
        <v>1</v>
      </c>
      <c r="I22" s="386">
        <f>VLOOKUP($E22,'2015 Appr staffing table'!$D:$K, I$1, FALSE)</f>
        <v>2</v>
      </c>
      <c r="J22" s="386">
        <f>VLOOKUP($E22,'2015 Appr staffing table'!$D:$K, J$1, FALSE)</f>
        <v>0</v>
      </c>
      <c r="K22" s="386">
        <f t="shared" si="4"/>
        <v>4</v>
      </c>
      <c r="L22" s="386">
        <f>VLOOKUP($E22,'2015 Appr staffing table'!$D:$K, L$1, FALSE)</f>
        <v>3</v>
      </c>
      <c r="M22" s="310">
        <f>VLOOKUP($E22,'2015 Appr staffing table'!$D:$S, 15, FALSE)</f>
        <v>1088329.653873476</v>
      </c>
      <c r="N22" s="311">
        <f>VLOOKUP($E22,'2015 Appr staffing table'!$D:$S, 16, FALSE)</f>
        <v>103898.89156574989</v>
      </c>
      <c r="O22" s="123"/>
      <c r="P22" s="123"/>
      <c r="Q22" s="90">
        <v>2000</v>
      </c>
      <c r="R22" s="88">
        <v>11000</v>
      </c>
      <c r="S22" s="89">
        <v>16000</v>
      </c>
      <c r="T22" s="89"/>
      <c r="U22" s="89"/>
      <c r="V22" s="89">
        <v>16000</v>
      </c>
      <c r="W22" s="89">
        <v>3000</v>
      </c>
      <c r="X22" s="89">
        <f>6000+10000</f>
        <v>16000</v>
      </c>
      <c r="Y22" s="89">
        <v>3000</v>
      </c>
      <c r="Z22" s="89">
        <v>1000</v>
      </c>
      <c r="AA22" s="89">
        <v>1000</v>
      </c>
      <c r="AB22" s="123">
        <v>1500</v>
      </c>
      <c r="AC22" s="181"/>
      <c r="AD22" s="184"/>
      <c r="AE22" s="184"/>
      <c r="AF22" s="184"/>
      <c r="AG22" s="420"/>
      <c r="AH22" s="10">
        <f t="shared" si="0"/>
        <v>1194228.5454392259</v>
      </c>
      <c r="AI22" s="9">
        <f t="shared" si="1"/>
        <v>68500</v>
      </c>
      <c r="AJ22" s="202">
        <f t="shared" si="2"/>
        <v>1262728.5454392259</v>
      </c>
    </row>
    <row r="23" spans="1:36" x14ac:dyDescent="0.3">
      <c r="A23" s="160">
        <f t="shared" si="3"/>
        <v>19</v>
      </c>
      <c r="B23" s="117" t="s">
        <v>366</v>
      </c>
      <c r="C23" s="8" t="s">
        <v>71</v>
      </c>
      <c r="D23" s="117" t="s">
        <v>423</v>
      </c>
      <c r="E23" s="11" t="s">
        <v>72</v>
      </c>
      <c r="F23" s="386">
        <f>VLOOKUP($E23,'2015 Appr staffing table'!$D:$K, F$1, FALSE)</f>
        <v>0</v>
      </c>
      <c r="G23" s="386">
        <f>VLOOKUP($E23,'2015 Appr staffing table'!$D:$K, G$1, FALSE)</f>
        <v>1</v>
      </c>
      <c r="H23" s="386">
        <f>VLOOKUP($E23,'2015 Appr staffing table'!$D:$K, H$1, FALSE)</f>
        <v>2</v>
      </c>
      <c r="I23" s="386">
        <f>VLOOKUP($E23,'2015 Appr staffing table'!$D:$K, I$1, FALSE)</f>
        <v>2</v>
      </c>
      <c r="J23" s="386">
        <f>VLOOKUP($E23,'2015 Appr staffing table'!$D:$K, J$1, FALSE)</f>
        <v>0</v>
      </c>
      <c r="K23" s="386">
        <f t="shared" si="4"/>
        <v>5</v>
      </c>
      <c r="L23" s="386">
        <f>VLOOKUP($E23,'2015 Appr staffing table'!$D:$K, L$1, FALSE)</f>
        <v>7</v>
      </c>
      <c r="M23" s="310">
        <f>VLOOKUP($E23,'2015 Appr staffing table'!$D:$S, 15, FALSE)</f>
        <v>1278149.5164207758</v>
      </c>
      <c r="N23" s="311">
        <f>VLOOKUP($E23,'2015 Appr staffing table'!$D:$S, 16, FALSE)</f>
        <v>172537.76426779607</v>
      </c>
      <c r="O23" s="123"/>
      <c r="P23" s="123"/>
      <c r="Q23" s="90">
        <v>3000</v>
      </c>
      <c r="R23" s="88">
        <v>20000</v>
      </c>
      <c r="S23" s="89">
        <f>95000-12300</f>
        <v>82700</v>
      </c>
      <c r="T23" s="89"/>
      <c r="U23" s="89"/>
      <c r="V23" s="89">
        <f>11000+2100</f>
        <v>13100</v>
      </c>
      <c r="W23" s="89">
        <v>10000</v>
      </c>
      <c r="X23" s="89">
        <f>15000+1800</f>
        <v>16800</v>
      </c>
      <c r="Y23" s="89">
        <v>3000</v>
      </c>
      <c r="Z23" s="89">
        <v>5000</v>
      </c>
      <c r="AA23" s="89">
        <v>2000</v>
      </c>
      <c r="AB23" s="123">
        <v>2500</v>
      </c>
      <c r="AC23" s="181"/>
      <c r="AD23" s="184"/>
      <c r="AE23" s="184"/>
      <c r="AF23" s="184"/>
      <c r="AG23" s="420"/>
      <c r="AH23" s="10">
        <f t="shared" si="0"/>
        <v>1453687.2806885717</v>
      </c>
      <c r="AI23" s="9">
        <f t="shared" si="1"/>
        <v>155100</v>
      </c>
      <c r="AJ23" s="202">
        <f t="shared" si="2"/>
        <v>1608787.2806885717</v>
      </c>
    </row>
    <row r="24" spans="1:36" x14ac:dyDescent="0.3">
      <c r="A24" s="160">
        <f t="shared" si="3"/>
        <v>20</v>
      </c>
      <c r="B24" s="117" t="s">
        <v>409</v>
      </c>
      <c r="C24" s="8" t="s">
        <v>73</v>
      </c>
      <c r="D24" s="8" t="s">
        <v>328</v>
      </c>
      <c r="E24" s="11" t="s">
        <v>74</v>
      </c>
      <c r="F24" s="386">
        <f>VLOOKUP($E24,'2015 Appr staffing table'!$D:$K, F$1, FALSE)</f>
        <v>0</v>
      </c>
      <c r="G24" s="386">
        <f>VLOOKUP($E24,'2015 Appr staffing table'!$D:$K, G$1, FALSE)</f>
        <v>0</v>
      </c>
      <c r="H24" s="386">
        <f>VLOOKUP($E24,'2015 Appr staffing table'!$D:$K, H$1, FALSE)</f>
        <v>0</v>
      </c>
      <c r="I24" s="386">
        <f>VLOOKUP($E24,'2015 Appr staffing table'!$D:$K, I$1, FALSE)</f>
        <v>0</v>
      </c>
      <c r="J24" s="386">
        <f>VLOOKUP($E24,'2015 Appr staffing table'!$D:$K, J$1, FALSE)</f>
        <v>0</v>
      </c>
      <c r="K24" s="386">
        <f t="shared" si="4"/>
        <v>0</v>
      </c>
      <c r="L24" s="386">
        <f>VLOOKUP($E24,'2015 Appr staffing table'!$D:$K, L$1, FALSE)</f>
        <v>1</v>
      </c>
      <c r="M24" s="310">
        <f>VLOOKUP($E24,'2015 Appr staffing table'!$D:$S, 15, FALSE)</f>
        <v>0</v>
      </c>
      <c r="N24" s="311">
        <f>VLOOKUP($E24,'2015 Appr staffing table'!$D:$S, 16, FALSE)</f>
        <v>66638.779298065798</v>
      </c>
      <c r="O24" s="123"/>
      <c r="P24" s="123"/>
      <c r="Q24" s="90">
        <v>500</v>
      </c>
      <c r="R24" s="88">
        <v>1500</v>
      </c>
      <c r="S24" s="89">
        <v>0</v>
      </c>
      <c r="T24" s="89"/>
      <c r="U24" s="89"/>
      <c r="V24" s="89">
        <v>2000</v>
      </c>
      <c r="W24" s="89"/>
      <c r="X24" s="89">
        <v>2300</v>
      </c>
      <c r="Y24" s="89">
        <v>500</v>
      </c>
      <c r="Z24" s="89">
        <v>1000</v>
      </c>
      <c r="AA24" s="89">
        <v>0</v>
      </c>
      <c r="AB24" s="123">
        <v>650</v>
      </c>
      <c r="AC24" s="181"/>
      <c r="AD24" s="184"/>
      <c r="AE24" s="184"/>
      <c r="AF24" s="184"/>
      <c r="AG24" s="420"/>
      <c r="AH24" s="10">
        <f t="shared" si="0"/>
        <v>67138.779298065798</v>
      </c>
      <c r="AI24" s="9">
        <f t="shared" si="1"/>
        <v>7950</v>
      </c>
      <c r="AJ24" s="202">
        <f t="shared" si="2"/>
        <v>75088.779298065798</v>
      </c>
    </row>
    <row r="25" spans="1:36" x14ac:dyDescent="0.3">
      <c r="A25" s="160">
        <f t="shared" si="3"/>
        <v>21</v>
      </c>
      <c r="B25" s="117" t="s">
        <v>389</v>
      </c>
      <c r="C25" s="8" t="s">
        <v>75</v>
      </c>
      <c r="D25" s="8" t="s">
        <v>327</v>
      </c>
      <c r="E25" s="11" t="s">
        <v>76</v>
      </c>
      <c r="F25" s="386">
        <f>VLOOKUP($E25,'2015 Appr staffing table'!$D:$K, F$1, FALSE)</f>
        <v>0</v>
      </c>
      <c r="G25" s="386">
        <f>VLOOKUP($E25,'2015 Appr staffing table'!$D:$K, G$1, FALSE)</f>
        <v>0</v>
      </c>
      <c r="H25" s="386">
        <f>VLOOKUP($E25,'2015 Appr staffing table'!$D:$K, H$1, FALSE)</f>
        <v>1</v>
      </c>
      <c r="I25" s="386">
        <f>VLOOKUP($E25,'2015 Appr staffing table'!$D:$K, I$1, FALSE)</f>
        <v>1</v>
      </c>
      <c r="J25" s="386">
        <f>VLOOKUP($E25,'2015 Appr staffing table'!$D:$K, J$1, FALSE)</f>
        <v>0</v>
      </c>
      <c r="K25" s="386">
        <f t="shared" si="4"/>
        <v>2</v>
      </c>
      <c r="L25" s="386">
        <f>VLOOKUP($E25,'2015 Appr staffing table'!$D:$K, L$1, FALSE)</f>
        <v>2</v>
      </c>
      <c r="M25" s="310">
        <f>VLOOKUP($E25,'2015 Appr staffing table'!$D:$S, 15, FALSE)</f>
        <v>385116.84417650197</v>
      </c>
      <c r="N25" s="311">
        <f>VLOOKUP($E25,'2015 Appr staffing table'!$D:$S, 16, FALSE)</f>
        <v>111534.61318627122</v>
      </c>
      <c r="O25" s="123"/>
      <c r="P25" s="123"/>
      <c r="Q25" s="90">
        <v>1000</v>
      </c>
      <c r="R25" s="88">
        <v>8000</v>
      </c>
      <c r="S25" s="129">
        <v>17200</v>
      </c>
      <c r="T25" s="89"/>
      <c r="U25" s="89"/>
      <c r="V25" s="129">
        <v>10000</v>
      </c>
      <c r="W25" s="89">
        <v>1000</v>
      </c>
      <c r="X25" s="89">
        <v>4000</v>
      </c>
      <c r="Y25" s="89">
        <v>500</v>
      </c>
      <c r="Z25" s="89">
        <v>1000</v>
      </c>
      <c r="AA25" s="89">
        <v>1000</v>
      </c>
      <c r="AB25" s="130">
        <v>2000</v>
      </c>
      <c r="AC25" s="181"/>
      <c r="AD25" s="184"/>
      <c r="AE25" s="184"/>
      <c r="AF25" s="184"/>
      <c r="AG25" s="420"/>
      <c r="AH25" s="10">
        <f t="shared" si="0"/>
        <v>497651.45736277319</v>
      </c>
      <c r="AI25" s="9">
        <f t="shared" si="1"/>
        <v>44700</v>
      </c>
      <c r="AJ25" s="203">
        <f t="shared" si="2"/>
        <v>542351.45736277313</v>
      </c>
    </row>
    <row r="26" spans="1:36" x14ac:dyDescent="0.3">
      <c r="A26" s="160">
        <f t="shared" si="3"/>
        <v>22</v>
      </c>
      <c r="B26" s="8" t="s">
        <v>77</v>
      </c>
      <c r="C26" s="8" t="s">
        <v>78</v>
      </c>
      <c r="D26" s="8" t="s">
        <v>328</v>
      </c>
      <c r="E26" s="11" t="s">
        <v>79</v>
      </c>
      <c r="F26" s="386">
        <f>VLOOKUP($E26,'2015 Appr staffing table'!$D:$K, F$1, FALSE)</f>
        <v>0</v>
      </c>
      <c r="G26" s="386">
        <f>VLOOKUP($E26,'2015 Appr staffing table'!$D:$K, G$1, FALSE)</f>
        <v>1</v>
      </c>
      <c r="H26" s="386">
        <f>VLOOKUP($E26,'2015 Appr staffing table'!$D:$K, H$1, FALSE)</f>
        <v>3</v>
      </c>
      <c r="I26" s="386">
        <f>VLOOKUP($E26,'2015 Appr staffing table'!$D:$K, I$1, FALSE)</f>
        <v>3</v>
      </c>
      <c r="J26" s="386">
        <f>VLOOKUP($E26,'2015 Appr staffing table'!$D:$K, J$1, FALSE)</f>
        <v>0</v>
      </c>
      <c r="K26" s="386">
        <f t="shared" si="4"/>
        <v>7</v>
      </c>
      <c r="L26" s="386">
        <f>VLOOKUP($E26,'2015 Appr staffing table'!$D:$K, L$1, FALSE)</f>
        <v>8</v>
      </c>
      <c r="M26" s="310">
        <f>VLOOKUP($E26,'2015 Appr staffing table'!$D:$S, 15, FALSE)</f>
        <v>1245396.9308462427</v>
      </c>
      <c r="N26" s="311">
        <f>VLOOKUP($E26,'2015 Appr staffing table'!$D:$S, 16, FALSE)</f>
        <v>421456.36678241217</v>
      </c>
      <c r="O26" s="123"/>
      <c r="P26" s="123"/>
      <c r="Q26" s="90">
        <v>4000</v>
      </c>
      <c r="R26" s="88">
        <f>90000</f>
        <v>90000</v>
      </c>
      <c r="S26" s="89">
        <v>255600</v>
      </c>
      <c r="T26" s="89"/>
      <c r="U26" s="89"/>
      <c r="V26" s="89">
        <v>40000</v>
      </c>
      <c r="W26" s="129">
        <f>20000+52200</f>
        <v>72200</v>
      </c>
      <c r="X26" s="89">
        <v>25000</v>
      </c>
      <c r="Y26" s="89">
        <v>14000</v>
      </c>
      <c r="Z26" s="89">
        <v>2000</v>
      </c>
      <c r="AA26" s="129">
        <f>4000+19000</f>
        <v>23000</v>
      </c>
      <c r="AB26" s="123">
        <v>16000</v>
      </c>
      <c r="AC26" s="181"/>
      <c r="AD26" s="184"/>
      <c r="AE26" s="184"/>
      <c r="AF26" s="184"/>
      <c r="AG26" s="420"/>
      <c r="AH26" s="10">
        <f t="shared" si="0"/>
        <v>1670853.2976286549</v>
      </c>
      <c r="AI26" s="9">
        <f t="shared" si="1"/>
        <v>537800</v>
      </c>
      <c r="AJ26" s="202">
        <f t="shared" si="2"/>
        <v>2208653.2976286551</v>
      </c>
    </row>
    <row r="27" spans="1:36" x14ac:dyDescent="0.3">
      <c r="A27" s="160">
        <f t="shared" si="3"/>
        <v>23</v>
      </c>
      <c r="B27" s="117" t="s">
        <v>367</v>
      </c>
      <c r="C27" s="8" t="s">
        <v>80</v>
      </c>
      <c r="D27" s="117" t="s">
        <v>423</v>
      </c>
      <c r="E27" s="11" t="s">
        <v>81</v>
      </c>
      <c r="F27" s="386">
        <f>VLOOKUP($E27,'2015 Appr staffing table'!$D:$K, F$1, FALSE)</f>
        <v>0</v>
      </c>
      <c r="G27" s="386">
        <f>VLOOKUP($E27,'2015 Appr staffing table'!$D:$K, G$1, FALSE)</f>
        <v>0</v>
      </c>
      <c r="H27" s="386">
        <f>VLOOKUP($E27,'2015 Appr staffing table'!$D:$K, H$1, FALSE)</f>
        <v>0</v>
      </c>
      <c r="I27" s="386">
        <f>VLOOKUP($E27,'2015 Appr staffing table'!$D:$K, I$1, FALSE)</f>
        <v>0</v>
      </c>
      <c r="J27" s="386">
        <f>VLOOKUP($E27,'2015 Appr staffing table'!$D:$K, J$1, FALSE)</f>
        <v>0</v>
      </c>
      <c r="K27" s="386">
        <f t="shared" si="4"/>
        <v>0</v>
      </c>
      <c r="L27" s="386">
        <f>VLOOKUP($E27,'2015 Appr staffing table'!$D:$K, L$1, FALSE)</f>
        <v>1</v>
      </c>
      <c r="M27" s="310">
        <f>VLOOKUP($E27,'2015 Appr staffing table'!$D:$S, 15, FALSE)</f>
        <v>0</v>
      </c>
      <c r="N27" s="311">
        <f>VLOOKUP($E27,'2015 Appr staffing table'!$D:$S, 16, FALSE)</f>
        <v>27455.7642778347</v>
      </c>
      <c r="O27" s="123"/>
      <c r="P27" s="123"/>
      <c r="Q27" s="90">
        <v>1000</v>
      </c>
      <c r="R27" s="88">
        <v>1000</v>
      </c>
      <c r="S27" s="89">
        <v>1000</v>
      </c>
      <c r="T27" s="89"/>
      <c r="U27" s="89"/>
      <c r="V27" s="89">
        <v>1500</v>
      </c>
      <c r="W27" s="89">
        <v>500</v>
      </c>
      <c r="X27" s="89">
        <f>1300-1300</f>
        <v>0</v>
      </c>
      <c r="Y27" s="89">
        <v>500</v>
      </c>
      <c r="Z27" s="89">
        <f>1000-1000</f>
        <v>0</v>
      </c>
      <c r="AA27" s="89">
        <f>500-500</f>
        <v>0</v>
      </c>
      <c r="AB27" s="123">
        <f>700-700</f>
        <v>0</v>
      </c>
      <c r="AC27" s="181"/>
      <c r="AD27" s="184"/>
      <c r="AE27" s="184"/>
      <c r="AF27" s="184"/>
      <c r="AG27" s="420"/>
      <c r="AH27" s="10">
        <f t="shared" si="0"/>
        <v>28455.7642778347</v>
      </c>
      <c r="AI27" s="9">
        <f t="shared" si="1"/>
        <v>4500</v>
      </c>
      <c r="AJ27" s="202">
        <f t="shared" si="2"/>
        <v>32955.7642778347</v>
      </c>
    </row>
    <row r="28" spans="1:36" x14ac:dyDescent="0.3">
      <c r="A28" s="160">
        <f t="shared" si="3"/>
        <v>24</v>
      </c>
      <c r="B28" s="117" t="s">
        <v>368</v>
      </c>
      <c r="C28" s="8" t="s">
        <v>82</v>
      </c>
      <c r="D28" s="117" t="s">
        <v>423</v>
      </c>
      <c r="E28" s="11" t="s">
        <v>83</v>
      </c>
      <c r="F28" s="386">
        <f>VLOOKUP($E28,'2015 Appr staffing table'!$D:$K, F$1, FALSE)</f>
        <v>0</v>
      </c>
      <c r="G28" s="386">
        <f>VLOOKUP($E28,'2015 Appr staffing table'!$D:$K, G$1, FALSE)</f>
        <v>0</v>
      </c>
      <c r="H28" s="386">
        <f>VLOOKUP($E28,'2015 Appr staffing table'!$D:$K, H$1, FALSE)</f>
        <v>1</v>
      </c>
      <c r="I28" s="386">
        <f>VLOOKUP($E28,'2015 Appr staffing table'!$D:$K, I$1, FALSE)</f>
        <v>0</v>
      </c>
      <c r="J28" s="386">
        <f>VLOOKUP($E28,'2015 Appr staffing table'!$D:$K, J$1, FALSE)</f>
        <v>0</v>
      </c>
      <c r="K28" s="386">
        <f t="shared" si="4"/>
        <v>1</v>
      </c>
      <c r="L28" s="386">
        <f>VLOOKUP($E28,'2015 Appr staffing table'!$D:$K, L$1, FALSE)</f>
        <v>3</v>
      </c>
      <c r="M28" s="310">
        <f>VLOOKUP($E28,'2015 Appr staffing table'!$D:$S, 15, FALSE)</f>
        <v>203500.87139204997</v>
      </c>
      <c r="N28" s="311">
        <f>VLOOKUP($E28,'2015 Appr staffing table'!$D:$S, 16, FALSE)</f>
        <v>122076.84812408198</v>
      </c>
      <c r="O28" s="123"/>
      <c r="P28" s="123"/>
      <c r="Q28" s="90">
        <v>1500</v>
      </c>
      <c r="R28" s="88">
        <v>4500</v>
      </c>
      <c r="S28" s="89">
        <v>16500</v>
      </c>
      <c r="T28" s="89"/>
      <c r="U28" s="89"/>
      <c r="V28" s="89">
        <v>13000</v>
      </c>
      <c r="W28" s="89">
        <v>1200</v>
      </c>
      <c r="X28" s="89">
        <v>1500</v>
      </c>
      <c r="Y28" s="89">
        <v>2000</v>
      </c>
      <c r="Z28" s="89">
        <v>500</v>
      </c>
      <c r="AA28" s="89">
        <v>500</v>
      </c>
      <c r="AB28" s="123">
        <v>800</v>
      </c>
      <c r="AC28" s="181"/>
      <c r="AD28" s="184"/>
      <c r="AE28" s="184"/>
      <c r="AF28" s="184"/>
      <c r="AG28" s="420"/>
      <c r="AH28" s="10">
        <f t="shared" si="0"/>
        <v>327077.71951613197</v>
      </c>
      <c r="AI28" s="9">
        <f t="shared" si="1"/>
        <v>40500</v>
      </c>
      <c r="AJ28" s="202">
        <f t="shared" si="2"/>
        <v>367577.71951613197</v>
      </c>
    </row>
    <row r="29" spans="1:36" x14ac:dyDescent="0.3">
      <c r="A29" s="160">
        <f t="shared" si="3"/>
        <v>25</v>
      </c>
      <c r="B29" s="117" t="s">
        <v>421</v>
      </c>
      <c r="C29" s="117" t="s">
        <v>424</v>
      </c>
      <c r="D29" s="8" t="s">
        <v>328</v>
      </c>
      <c r="E29" s="161" t="s">
        <v>344</v>
      </c>
      <c r="F29" s="312">
        <f>VLOOKUP($E29,'2015 Appr staffing table'!$D:$K, F$1, FALSE)</f>
        <v>0</v>
      </c>
      <c r="G29" s="312">
        <f>VLOOKUP($E29,'2015 Appr staffing table'!$D:$K, G$1, FALSE)</f>
        <v>0</v>
      </c>
      <c r="H29" s="312">
        <f>VLOOKUP($E29,'2015 Appr staffing table'!$D:$K, H$1, FALSE)</f>
        <v>0</v>
      </c>
      <c r="I29" s="312">
        <f>VLOOKUP($E29,'2015 Appr staffing table'!$D:$K, I$1, FALSE)</f>
        <v>0</v>
      </c>
      <c r="J29" s="312">
        <f>VLOOKUP($E29,'2015 Appr staffing table'!$D:$K, J$1, FALSE)</f>
        <v>0</v>
      </c>
      <c r="K29" s="312">
        <f t="shared" si="4"/>
        <v>0</v>
      </c>
      <c r="L29" s="312">
        <f>VLOOKUP($E29,'2015 Appr staffing table'!$D:$K, L$1, FALSE)</f>
        <v>1</v>
      </c>
      <c r="M29" s="310">
        <f>VLOOKUP($E29,'2015 Appr staffing table'!$D:$S, 15, FALSE)</f>
        <v>0</v>
      </c>
      <c r="N29" s="311">
        <f>VLOOKUP($E29,'2015 Appr staffing table'!$D:$S, 16, FALSE)</f>
        <v>37799.285821894096</v>
      </c>
      <c r="O29" s="123"/>
      <c r="P29" s="123"/>
      <c r="Q29" s="90"/>
      <c r="R29" s="88"/>
      <c r="S29" s="89"/>
      <c r="T29" s="89"/>
      <c r="U29" s="89"/>
      <c r="V29" s="89"/>
      <c r="W29" s="89"/>
      <c r="X29" s="89"/>
      <c r="Y29" s="89"/>
      <c r="Z29" s="89"/>
      <c r="AA29" s="89">
        <v>0</v>
      </c>
      <c r="AB29" s="123"/>
      <c r="AC29" s="181"/>
      <c r="AD29" s="184"/>
      <c r="AE29" s="184"/>
      <c r="AF29" s="184"/>
      <c r="AG29" s="420"/>
      <c r="AH29" s="10">
        <f t="shared" si="0"/>
        <v>37799.285821894096</v>
      </c>
      <c r="AI29" s="9">
        <f t="shared" si="1"/>
        <v>0</v>
      </c>
      <c r="AJ29" s="202">
        <f t="shared" si="2"/>
        <v>37799.285821894096</v>
      </c>
    </row>
    <row r="30" spans="1:36" x14ac:dyDescent="0.3">
      <c r="A30" s="160">
        <f t="shared" si="3"/>
        <v>26</v>
      </c>
      <c r="B30" s="117" t="s">
        <v>369</v>
      </c>
      <c r="C30" s="8" t="s">
        <v>84</v>
      </c>
      <c r="D30" s="117" t="s">
        <v>339</v>
      </c>
      <c r="E30" s="11" t="s">
        <v>85</v>
      </c>
      <c r="F30" s="386">
        <f>VLOOKUP($E30,'2015 Appr staffing table'!$D:$K, F$1, FALSE)</f>
        <v>0</v>
      </c>
      <c r="G30" s="386">
        <f>VLOOKUP($E30,'2015 Appr staffing table'!$D:$K, G$1, FALSE)</f>
        <v>1</v>
      </c>
      <c r="H30" s="386">
        <f>VLOOKUP($E30,'2015 Appr staffing table'!$D:$K, H$1, FALSE)</f>
        <v>2</v>
      </c>
      <c r="I30" s="386">
        <f>VLOOKUP($E30,'2015 Appr staffing table'!$D:$K, I$1, FALSE)</f>
        <v>0</v>
      </c>
      <c r="J30" s="386">
        <f>VLOOKUP($E30,'2015 Appr staffing table'!$D:$K, J$1, FALSE)</f>
        <v>1</v>
      </c>
      <c r="K30" s="386">
        <f t="shared" si="4"/>
        <v>4</v>
      </c>
      <c r="L30" s="386">
        <f>VLOOKUP($E30,'2015 Appr staffing table'!$D:$K, L$1, FALSE)</f>
        <v>5</v>
      </c>
      <c r="M30" s="310">
        <f>VLOOKUP($E30,'2015 Appr staffing table'!$D:$S, 15, FALSE)</f>
        <v>790795.17638653796</v>
      </c>
      <c r="N30" s="311">
        <f>VLOOKUP($E30,'2015 Appr staffing table'!$D:$S, 16, FALSE)</f>
        <v>161026.19265270577</v>
      </c>
      <c r="O30" s="123"/>
      <c r="P30" s="123"/>
      <c r="Q30" s="90">
        <v>2500</v>
      </c>
      <c r="R30" s="88">
        <v>10000</v>
      </c>
      <c r="S30" s="89">
        <v>11000</v>
      </c>
      <c r="T30" s="89"/>
      <c r="U30" s="89"/>
      <c r="V30" s="89">
        <v>20000</v>
      </c>
      <c r="W30" s="89">
        <v>18000</v>
      </c>
      <c r="X30" s="89">
        <v>15000</v>
      </c>
      <c r="Y30" s="89">
        <v>3000</v>
      </c>
      <c r="Z30" s="89">
        <v>1000</v>
      </c>
      <c r="AA30" s="89">
        <v>2000</v>
      </c>
      <c r="AB30" s="123">
        <v>4500</v>
      </c>
      <c r="AC30" s="181"/>
      <c r="AD30" s="184"/>
      <c r="AE30" s="184"/>
      <c r="AF30" s="184"/>
      <c r="AG30" s="420"/>
      <c r="AH30" s="10">
        <f t="shared" si="0"/>
        <v>954321.36903924379</v>
      </c>
      <c r="AI30" s="9">
        <f t="shared" si="1"/>
        <v>84500</v>
      </c>
      <c r="AJ30" s="202">
        <f t="shared" si="2"/>
        <v>1038821.3690392438</v>
      </c>
    </row>
    <row r="31" spans="1:36" x14ac:dyDescent="0.3">
      <c r="A31" s="160">
        <f t="shared" si="3"/>
        <v>27</v>
      </c>
      <c r="B31" s="117" t="s">
        <v>370</v>
      </c>
      <c r="C31" s="8" t="s">
        <v>86</v>
      </c>
      <c r="D31" s="117" t="s">
        <v>339</v>
      </c>
      <c r="E31" s="11" t="s">
        <v>87</v>
      </c>
      <c r="F31" s="386">
        <f>VLOOKUP($E31,'2015 Appr staffing table'!$D:$K, F$1, FALSE)</f>
        <v>1</v>
      </c>
      <c r="G31" s="386">
        <f>VLOOKUP($E31,'2015 Appr staffing table'!$D:$K, G$1, FALSE)</f>
        <v>0</v>
      </c>
      <c r="H31" s="386">
        <f>VLOOKUP($E31,'2015 Appr staffing table'!$D:$K, H$1, FALSE)</f>
        <v>5</v>
      </c>
      <c r="I31" s="386">
        <f>VLOOKUP($E31,'2015 Appr staffing table'!$D:$K, I$1, FALSE)</f>
        <v>1</v>
      </c>
      <c r="J31" s="386">
        <f>VLOOKUP($E31,'2015 Appr staffing table'!$D:$K, J$1, FALSE)</f>
        <v>0</v>
      </c>
      <c r="K31" s="386">
        <f t="shared" si="4"/>
        <v>7</v>
      </c>
      <c r="L31" s="386">
        <f>VLOOKUP($E31,'2015 Appr staffing table'!$D:$K, L$1, FALSE)</f>
        <v>12</v>
      </c>
      <c r="M31" s="310">
        <f>VLOOKUP($E31,'2015 Appr staffing table'!$D:$S, 15, FALSE)</f>
        <v>1944093.1732987505</v>
      </c>
      <c r="N31" s="311">
        <f>VLOOKUP($E31,'2015 Appr staffing table'!$D:$S, 16, FALSE)</f>
        <v>546273.41412807815</v>
      </c>
      <c r="O31" s="123"/>
      <c r="P31" s="123"/>
      <c r="Q31" s="90">
        <v>6000</v>
      </c>
      <c r="R31" s="88">
        <v>40000</v>
      </c>
      <c r="S31" s="89">
        <v>85000</v>
      </c>
      <c r="T31" s="89"/>
      <c r="U31" s="89"/>
      <c r="V31" s="89">
        <v>18000</v>
      </c>
      <c r="W31" s="89">
        <v>13000</v>
      </c>
      <c r="X31" s="89">
        <v>20000</v>
      </c>
      <c r="Y31" s="89">
        <v>3000</v>
      </c>
      <c r="Z31" s="89">
        <v>1000</v>
      </c>
      <c r="AA31" s="89">
        <v>2000</v>
      </c>
      <c r="AB31" s="123">
        <v>14500</v>
      </c>
      <c r="AC31" s="181"/>
      <c r="AD31" s="184"/>
      <c r="AE31" s="184"/>
      <c r="AF31" s="184"/>
      <c r="AG31" s="420"/>
      <c r="AH31" s="10">
        <f t="shared" si="0"/>
        <v>2496366.5874268287</v>
      </c>
      <c r="AI31" s="9">
        <f t="shared" si="1"/>
        <v>196500</v>
      </c>
      <c r="AJ31" s="202">
        <f t="shared" si="2"/>
        <v>2692866.5874268287</v>
      </c>
    </row>
    <row r="32" spans="1:36" x14ac:dyDescent="0.3">
      <c r="A32" s="160">
        <f t="shared" si="3"/>
        <v>28</v>
      </c>
      <c r="B32" s="8" t="s">
        <v>88</v>
      </c>
      <c r="C32" s="8" t="s">
        <v>89</v>
      </c>
      <c r="D32" s="117" t="s">
        <v>423</v>
      </c>
      <c r="E32" s="11" t="s">
        <v>90</v>
      </c>
      <c r="F32" s="386">
        <f>VLOOKUP($E32,'2015 Appr staffing table'!$D:$K, F$1, FALSE)</f>
        <v>0</v>
      </c>
      <c r="G32" s="386">
        <f>VLOOKUP($E32,'2015 Appr staffing table'!$D:$K, G$1, FALSE)</f>
        <v>0</v>
      </c>
      <c r="H32" s="386">
        <f>VLOOKUP($E32,'2015 Appr staffing table'!$D:$K, H$1, FALSE)</f>
        <v>1</v>
      </c>
      <c r="I32" s="386">
        <f>VLOOKUP($E32,'2015 Appr staffing table'!$D:$K, I$1, FALSE)</f>
        <v>0</v>
      </c>
      <c r="J32" s="386">
        <f>VLOOKUP($E32,'2015 Appr staffing table'!$D:$K, J$1, FALSE)</f>
        <v>0</v>
      </c>
      <c r="K32" s="386">
        <f t="shared" si="4"/>
        <v>1</v>
      </c>
      <c r="L32" s="386">
        <f>VLOOKUP($E32,'2015 Appr staffing table'!$D:$K, L$1, FALSE)</f>
        <v>2</v>
      </c>
      <c r="M32" s="310">
        <f>VLOOKUP($E32,'2015 Appr staffing table'!$D:$S, 15, FALSE)</f>
        <v>195655.39982256669</v>
      </c>
      <c r="N32" s="311">
        <f>VLOOKUP($E32,'2015 Appr staffing table'!$D:$S, 16, FALSE)</f>
        <v>64813.483206366378</v>
      </c>
      <c r="O32" s="123"/>
      <c r="P32" s="123"/>
      <c r="Q32" s="90">
        <v>1000</v>
      </c>
      <c r="R32" s="88">
        <v>3000</v>
      </c>
      <c r="S32" s="89">
        <v>8810</v>
      </c>
      <c r="T32" s="89"/>
      <c r="U32" s="89"/>
      <c r="V32" s="89">
        <v>9000</v>
      </c>
      <c r="W32" s="89">
        <v>1500</v>
      </c>
      <c r="X32" s="89">
        <v>3500</v>
      </c>
      <c r="Y32" s="89">
        <v>1000</v>
      </c>
      <c r="Z32" s="89">
        <v>1000</v>
      </c>
      <c r="AA32" s="89">
        <v>500</v>
      </c>
      <c r="AB32" s="123">
        <v>1100</v>
      </c>
      <c r="AC32" s="181"/>
      <c r="AD32" s="184"/>
      <c r="AE32" s="184"/>
      <c r="AF32" s="184"/>
      <c r="AG32" s="420"/>
      <c r="AH32" s="10">
        <f t="shared" si="0"/>
        <v>261468.88302893308</v>
      </c>
      <c r="AI32" s="9">
        <f t="shared" si="1"/>
        <v>29410</v>
      </c>
      <c r="AJ32" s="202">
        <f t="shared" si="2"/>
        <v>290878.88302893308</v>
      </c>
    </row>
    <row r="33" spans="1:36" x14ac:dyDescent="0.3">
      <c r="A33" s="160">
        <f t="shared" si="3"/>
        <v>29</v>
      </c>
      <c r="B33" s="8" t="s">
        <v>91</v>
      </c>
      <c r="C33" s="8" t="s">
        <v>92</v>
      </c>
      <c r="D33" s="8" t="s">
        <v>328</v>
      </c>
      <c r="E33" s="11" t="s">
        <v>93</v>
      </c>
      <c r="F33" s="386">
        <f>VLOOKUP($E33,'2015 Appr staffing table'!$D:$K, F$1, FALSE)</f>
        <v>0</v>
      </c>
      <c r="G33" s="386">
        <f>VLOOKUP($E33,'2015 Appr staffing table'!$D:$K, G$1, FALSE)</f>
        <v>0</v>
      </c>
      <c r="H33" s="386">
        <f>VLOOKUP($E33,'2015 Appr staffing table'!$D:$K, H$1, FALSE)</f>
        <v>1</v>
      </c>
      <c r="I33" s="386">
        <f>VLOOKUP($E33,'2015 Appr staffing table'!$D:$K, I$1, FALSE)</f>
        <v>0</v>
      </c>
      <c r="J33" s="386">
        <f>VLOOKUP($E33,'2015 Appr staffing table'!$D:$K, J$1, FALSE)</f>
        <v>0</v>
      </c>
      <c r="K33" s="386">
        <f t="shared" si="4"/>
        <v>1</v>
      </c>
      <c r="L33" s="386">
        <f>VLOOKUP($E33,'2015 Appr staffing table'!$D:$K, L$1, FALSE)</f>
        <v>2</v>
      </c>
      <c r="M33" s="310">
        <f>VLOOKUP($E33,'2015 Appr staffing table'!$D:$S, 15, FALSE)</f>
        <v>181454.35179560832</v>
      </c>
      <c r="N33" s="311">
        <f>VLOOKUP($E33,'2015 Appr staffing table'!$D:$S, 16, FALSE)</f>
        <v>65829.153582174564</v>
      </c>
      <c r="O33" s="123"/>
      <c r="P33" s="394"/>
      <c r="Q33" s="90">
        <v>1000</v>
      </c>
      <c r="R33" s="88">
        <v>8000</v>
      </c>
      <c r="S33" s="89">
        <v>10000</v>
      </c>
      <c r="T33" s="89"/>
      <c r="U33" s="89"/>
      <c r="V33" s="89">
        <v>4000</v>
      </c>
      <c r="W33" s="89">
        <v>2000</v>
      </c>
      <c r="X33" s="89">
        <v>4000</v>
      </c>
      <c r="Y33" s="89">
        <v>1000</v>
      </c>
      <c r="Z33" s="89">
        <f>1000-300</f>
        <v>700</v>
      </c>
      <c r="AA33" s="89">
        <v>500</v>
      </c>
      <c r="AB33" s="123">
        <v>1200</v>
      </c>
      <c r="AC33" s="181"/>
      <c r="AD33" s="184"/>
      <c r="AE33" s="184"/>
      <c r="AF33" s="184"/>
      <c r="AG33" s="420"/>
      <c r="AH33" s="10">
        <f t="shared" si="0"/>
        <v>248283.50537778289</v>
      </c>
      <c r="AI33" s="9">
        <f t="shared" si="1"/>
        <v>31400</v>
      </c>
      <c r="AJ33" s="202">
        <f t="shared" si="2"/>
        <v>279683.50537778286</v>
      </c>
    </row>
    <row r="34" spans="1:36" x14ac:dyDescent="0.3">
      <c r="A34" s="160">
        <f t="shared" si="3"/>
        <v>30</v>
      </c>
      <c r="B34" s="117" t="s">
        <v>390</v>
      </c>
      <c r="C34" s="8" t="s">
        <v>94</v>
      </c>
      <c r="D34" s="117" t="s">
        <v>339</v>
      </c>
      <c r="E34" s="11" t="s">
        <v>95</v>
      </c>
      <c r="F34" s="386">
        <f>VLOOKUP($E34,'2015 Appr staffing table'!$D:$K, F$1, FALSE)</f>
        <v>0</v>
      </c>
      <c r="G34" s="386">
        <f>VLOOKUP($E34,'2015 Appr staffing table'!$D:$K, G$1, FALSE)</f>
        <v>0</v>
      </c>
      <c r="H34" s="386">
        <f>VLOOKUP($E34,'2015 Appr staffing table'!$D:$K, H$1, FALSE)</f>
        <v>1</v>
      </c>
      <c r="I34" s="386">
        <f>VLOOKUP($E34,'2015 Appr staffing table'!$D:$K, I$1, FALSE)</f>
        <v>1</v>
      </c>
      <c r="J34" s="386">
        <f>VLOOKUP($E34,'2015 Appr staffing table'!$D:$K, J$1, FALSE)</f>
        <v>0</v>
      </c>
      <c r="K34" s="386">
        <f t="shared" si="4"/>
        <v>2</v>
      </c>
      <c r="L34" s="386">
        <f>VLOOKUP($E34,'2015 Appr staffing table'!$D:$K, L$1, FALSE)</f>
        <v>4</v>
      </c>
      <c r="M34" s="310">
        <f>VLOOKUP($E34,'2015 Appr staffing table'!$D:$S, 15, FALSE)</f>
        <v>389871.50434233551</v>
      </c>
      <c r="N34" s="311">
        <f>VLOOKUP($E34,'2015 Appr staffing table'!$D:$S, 16, FALSE)</f>
        <v>75017.120401806256</v>
      </c>
      <c r="O34" s="123"/>
      <c r="P34" s="123"/>
      <c r="Q34" s="90">
        <v>1500</v>
      </c>
      <c r="R34" s="128">
        <v>9000</v>
      </c>
      <c r="S34" s="89">
        <v>12500</v>
      </c>
      <c r="T34" s="89"/>
      <c r="U34" s="89"/>
      <c r="V34" s="89">
        <f>8400+4000</f>
        <v>12400</v>
      </c>
      <c r="W34" s="129">
        <v>3000</v>
      </c>
      <c r="X34" s="129">
        <v>6000</v>
      </c>
      <c r="Y34" s="89">
        <v>1000</v>
      </c>
      <c r="Z34" s="89">
        <v>1000</v>
      </c>
      <c r="AA34" s="89">
        <v>1000</v>
      </c>
      <c r="AB34" s="123">
        <v>600</v>
      </c>
      <c r="AC34" s="181"/>
      <c r="AD34" s="184"/>
      <c r="AE34" s="184"/>
      <c r="AF34" s="184"/>
      <c r="AG34" s="420"/>
      <c r="AH34" s="10">
        <f t="shared" si="0"/>
        <v>466388.62474414177</v>
      </c>
      <c r="AI34" s="9">
        <f t="shared" si="1"/>
        <v>46500</v>
      </c>
      <c r="AJ34" s="202">
        <f t="shared" si="2"/>
        <v>512888.62474414177</v>
      </c>
    </row>
    <row r="35" spans="1:36" x14ac:dyDescent="0.3">
      <c r="A35" s="160">
        <f t="shared" si="3"/>
        <v>31</v>
      </c>
      <c r="B35" s="8" t="s">
        <v>96</v>
      </c>
      <c r="C35" s="8" t="s">
        <v>97</v>
      </c>
      <c r="D35" s="8" t="s">
        <v>328</v>
      </c>
      <c r="E35" s="11" t="s">
        <v>98</v>
      </c>
      <c r="F35" s="386">
        <f>VLOOKUP($E35,'2015 Appr staffing table'!$D:$K, F$1, FALSE)</f>
        <v>0</v>
      </c>
      <c r="G35" s="386">
        <f>VLOOKUP($E35,'2015 Appr staffing table'!$D:$K, G$1, FALSE)</f>
        <v>0</v>
      </c>
      <c r="H35" s="386">
        <f>VLOOKUP($E35,'2015 Appr staffing table'!$D:$K, H$1, FALSE)</f>
        <v>1</v>
      </c>
      <c r="I35" s="386">
        <f>VLOOKUP($E35,'2015 Appr staffing table'!$D:$K, I$1, FALSE)</f>
        <v>0</v>
      </c>
      <c r="J35" s="386">
        <f>VLOOKUP($E35,'2015 Appr staffing table'!$D:$K, J$1, FALSE)</f>
        <v>0</v>
      </c>
      <c r="K35" s="386">
        <f t="shared" si="4"/>
        <v>1</v>
      </c>
      <c r="L35" s="386">
        <f>VLOOKUP($E35,'2015 Appr staffing table'!$D:$K, L$1, FALSE)</f>
        <v>2</v>
      </c>
      <c r="M35" s="310">
        <f>VLOOKUP($E35,'2015 Appr staffing table'!$D:$S, 15, FALSE)</f>
        <v>173339.39332294997</v>
      </c>
      <c r="N35" s="311">
        <f>VLOOKUP($E35,'2015 Appr staffing table'!$D:$S, 16, FALSE)</f>
        <v>99618.799522369387</v>
      </c>
      <c r="O35" s="123"/>
      <c r="P35" s="123"/>
      <c r="Q35" s="90">
        <v>1000</v>
      </c>
      <c r="R35" s="88">
        <v>5000</v>
      </c>
      <c r="S35" s="129">
        <v>11500</v>
      </c>
      <c r="T35" s="89"/>
      <c r="U35" s="89"/>
      <c r="V35" s="89">
        <v>5600</v>
      </c>
      <c r="W35" s="89">
        <v>2000</v>
      </c>
      <c r="X35" s="89">
        <v>1500</v>
      </c>
      <c r="Y35" s="89">
        <v>1000</v>
      </c>
      <c r="Z35" s="89">
        <v>1000</v>
      </c>
      <c r="AA35" s="89">
        <v>500</v>
      </c>
      <c r="AB35" s="123">
        <v>2000</v>
      </c>
      <c r="AC35" s="181"/>
      <c r="AD35" s="184"/>
      <c r="AE35" s="184"/>
      <c r="AF35" s="184"/>
      <c r="AG35" s="420"/>
      <c r="AH35" s="10">
        <f t="shared" si="0"/>
        <v>273958.19284531934</v>
      </c>
      <c r="AI35" s="9">
        <f t="shared" si="1"/>
        <v>30100</v>
      </c>
      <c r="AJ35" s="202">
        <f t="shared" si="2"/>
        <v>304058.19284531934</v>
      </c>
    </row>
    <row r="36" spans="1:36" x14ac:dyDescent="0.3">
      <c r="A36" s="160">
        <f t="shared" si="3"/>
        <v>32</v>
      </c>
      <c r="B36" s="8" t="s">
        <v>99</v>
      </c>
      <c r="C36" s="8" t="s">
        <v>100</v>
      </c>
      <c r="D36" s="8" t="s">
        <v>329</v>
      </c>
      <c r="E36" s="11" t="s">
        <v>101</v>
      </c>
      <c r="F36" s="386">
        <f>VLOOKUP($E36,'2015 Appr staffing table'!$D:$K, F$1, FALSE)</f>
        <v>0</v>
      </c>
      <c r="G36" s="386">
        <f>VLOOKUP($E36,'2015 Appr staffing table'!$D:$K, G$1, FALSE)</f>
        <v>0</v>
      </c>
      <c r="H36" s="386">
        <f>VLOOKUP($E36,'2015 Appr staffing table'!$D:$K, H$1, FALSE)</f>
        <v>1</v>
      </c>
      <c r="I36" s="386">
        <f>VLOOKUP($E36,'2015 Appr staffing table'!$D:$K, I$1, FALSE)</f>
        <v>1</v>
      </c>
      <c r="J36" s="386">
        <f>VLOOKUP($E36,'2015 Appr staffing table'!$D:$K, J$1, FALSE)</f>
        <v>0</v>
      </c>
      <c r="K36" s="386">
        <f t="shared" si="4"/>
        <v>2</v>
      </c>
      <c r="L36" s="386">
        <f>VLOOKUP($E36,'2015 Appr staffing table'!$D:$K, L$1, FALSE)</f>
        <v>3</v>
      </c>
      <c r="M36" s="310">
        <f>VLOOKUP($E36,'2015 Appr staffing table'!$D:$S, 15, FALSE)</f>
        <v>324649.73061610933</v>
      </c>
      <c r="N36" s="311">
        <f>VLOOKUP($E36,'2015 Appr staffing table'!$D:$S, 16, FALSE)</f>
        <v>79949.943590052324</v>
      </c>
      <c r="O36" s="123"/>
      <c r="P36" s="123"/>
      <c r="Q36" s="90">
        <v>1500</v>
      </c>
      <c r="R36" s="88">
        <v>6000</v>
      </c>
      <c r="S36" s="89">
        <v>35000</v>
      </c>
      <c r="T36" s="89"/>
      <c r="U36" s="89"/>
      <c r="V36" s="89">
        <v>11600</v>
      </c>
      <c r="W36" s="89">
        <v>3500</v>
      </c>
      <c r="X36" s="89">
        <v>1800</v>
      </c>
      <c r="Y36" s="89">
        <v>2000</v>
      </c>
      <c r="Z36" s="89">
        <v>1000</v>
      </c>
      <c r="AA36" s="89">
        <v>1000</v>
      </c>
      <c r="AB36" s="123">
        <v>2000</v>
      </c>
      <c r="AC36" s="181"/>
      <c r="AD36" s="184"/>
      <c r="AE36" s="184"/>
      <c r="AF36" s="184"/>
      <c r="AG36" s="420"/>
      <c r="AH36" s="10">
        <f t="shared" si="0"/>
        <v>406099.67420616164</v>
      </c>
      <c r="AI36" s="9">
        <f t="shared" si="1"/>
        <v>63900</v>
      </c>
      <c r="AJ36" s="202">
        <f t="shared" si="2"/>
        <v>469999.67420616164</v>
      </c>
    </row>
    <row r="37" spans="1:36" x14ac:dyDescent="0.3">
      <c r="A37" s="160">
        <f t="shared" si="3"/>
        <v>33</v>
      </c>
      <c r="B37" s="117" t="s">
        <v>410</v>
      </c>
      <c r="C37" s="8" t="s">
        <v>102</v>
      </c>
      <c r="D37" s="8" t="s">
        <v>328</v>
      </c>
      <c r="E37" s="11" t="s">
        <v>103</v>
      </c>
      <c r="F37" s="386">
        <f>VLOOKUP($E37,'2015 Appr staffing table'!$D:$K, F$1, FALSE)</f>
        <v>0</v>
      </c>
      <c r="G37" s="386">
        <f>VLOOKUP($E37,'2015 Appr staffing table'!$D:$K, G$1, FALSE)</f>
        <v>0</v>
      </c>
      <c r="H37" s="386">
        <f>VLOOKUP($E37,'2015 Appr staffing table'!$D:$K, H$1, FALSE)</f>
        <v>1</v>
      </c>
      <c r="I37" s="386">
        <f>VLOOKUP($E37,'2015 Appr staffing table'!$D:$K, I$1, FALSE)</f>
        <v>0</v>
      </c>
      <c r="J37" s="386">
        <f>VLOOKUP($E37,'2015 Appr staffing table'!$D:$K, J$1, FALSE)</f>
        <v>0</v>
      </c>
      <c r="K37" s="386">
        <f t="shared" si="4"/>
        <v>1</v>
      </c>
      <c r="L37" s="386">
        <f>VLOOKUP($E37,'2015 Appr staffing table'!$D:$K, L$1, FALSE)</f>
        <v>2</v>
      </c>
      <c r="M37" s="310">
        <f>VLOOKUP($E37,'2015 Appr staffing table'!$D:$S, 15, FALSE)</f>
        <v>178770.21231088333</v>
      </c>
      <c r="N37" s="311">
        <f>VLOOKUP($E37,'2015 Appr staffing table'!$D:$S, 16, FALSE)</f>
        <v>69277.206964299825</v>
      </c>
      <c r="O37" s="123"/>
      <c r="P37" s="123"/>
      <c r="Q37" s="90">
        <v>1000</v>
      </c>
      <c r="R37" s="88">
        <v>4700</v>
      </c>
      <c r="S37" s="89">
        <v>38000</v>
      </c>
      <c r="T37" s="89"/>
      <c r="U37" s="89"/>
      <c r="V37" s="89">
        <v>7000</v>
      </c>
      <c r="W37" s="89">
        <v>1700</v>
      </c>
      <c r="X37" s="89">
        <v>1700</v>
      </c>
      <c r="Y37" s="89">
        <v>700</v>
      </c>
      <c r="Z37" s="89">
        <v>1000</v>
      </c>
      <c r="AA37" s="89">
        <v>500</v>
      </c>
      <c r="AB37" s="123">
        <v>2300</v>
      </c>
      <c r="AC37" s="181"/>
      <c r="AD37" s="184"/>
      <c r="AE37" s="184"/>
      <c r="AF37" s="184"/>
      <c r="AG37" s="420"/>
      <c r="AH37" s="10">
        <f t="shared" ref="AH37:AH68" si="5">SUM(M37:Q37)</f>
        <v>249047.41927518317</v>
      </c>
      <c r="AI37" s="9">
        <f t="shared" ref="AI37:AI68" si="6">SUM(R37:AG37)</f>
        <v>57600</v>
      </c>
      <c r="AJ37" s="202">
        <f t="shared" ref="AJ37:AJ68" si="7">SUM(AH37:AI37)</f>
        <v>306647.41927518317</v>
      </c>
    </row>
    <row r="38" spans="1:36" x14ac:dyDescent="0.3">
      <c r="A38" s="160">
        <f t="shared" si="3"/>
        <v>34</v>
      </c>
      <c r="B38" s="117" t="s">
        <v>371</v>
      </c>
      <c r="C38" s="8" t="s">
        <v>104</v>
      </c>
      <c r="D38" s="117" t="s">
        <v>423</v>
      </c>
      <c r="E38" s="11" t="s">
        <v>105</v>
      </c>
      <c r="F38" s="386">
        <f>VLOOKUP($E38,'2015 Appr staffing table'!$D:$K, F$1, FALSE)</f>
        <v>0</v>
      </c>
      <c r="G38" s="386">
        <f>VLOOKUP($E38,'2015 Appr staffing table'!$D:$K, G$1, FALSE)</f>
        <v>0</v>
      </c>
      <c r="H38" s="386">
        <f>VLOOKUP($E38,'2015 Appr staffing table'!$D:$K, H$1, FALSE)</f>
        <v>1</v>
      </c>
      <c r="I38" s="386">
        <f>VLOOKUP($E38,'2015 Appr staffing table'!$D:$K, I$1, FALSE)</f>
        <v>0</v>
      </c>
      <c r="J38" s="386">
        <f>VLOOKUP($E38,'2015 Appr staffing table'!$D:$K, J$1, FALSE)</f>
        <v>0</v>
      </c>
      <c r="K38" s="386">
        <f t="shared" si="4"/>
        <v>1</v>
      </c>
      <c r="L38" s="386">
        <f>VLOOKUP($E38,'2015 Appr staffing table'!$D:$K, L$1, FALSE)</f>
        <v>2</v>
      </c>
      <c r="M38" s="310">
        <f>VLOOKUP($E38,'2015 Appr staffing table'!$D:$S, 15, FALSE)</f>
        <v>206817.06021593331</v>
      </c>
      <c r="N38" s="311">
        <f>VLOOKUP($E38,'2015 Appr staffing table'!$D:$S, 16, FALSE)</f>
        <v>64161.985589434531</v>
      </c>
      <c r="O38" s="123"/>
      <c r="P38" s="123"/>
      <c r="Q38" s="90">
        <v>1000</v>
      </c>
      <c r="R38" s="88">
        <v>2700</v>
      </c>
      <c r="S38" s="89">
        <f>15600+1000+8400+4420</f>
        <v>29420</v>
      </c>
      <c r="T38" s="89"/>
      <c r="U38" s="89"/>
      <c r="V38" s="89">
        <f>4500+1000-1000</f>
        <v>4500</v>
      </c>
      <c r="W38" s="89">
        <v>400</v>
      </c>
      <c r="X38" s="89">
        <v>1000</v>
      </c>
      <c r="Y38" s="89">
        <f>1500-1000</f>
        <v>500</v>
      </c>
      <c r="Z38" s="89">
        <v>1000</v>
      </c>
      <c r="AA38" s="89">
        <v>500</v>
      </c>
      <c r="AB38" s="123">
        <v>1000</v>
      </c>
      <c r="AC38" s="181"/>
      <c r="AD38" s="184"/>
      <c r="AE38" s="184"/>
      <c r="AF38" s="184"/>
      <c r="AG38" s="420"/>
      <c r="AH38" s="10">
        <f t="shared" si="5"/>
        <v>271979.04580536782</v>
      </c>
      <c r="AI38" s="9">
        <f t="shared" si="6"/>
        <v>41020</v>
      </c>
      <c r="AJ38" s="203">
        <f t="shared" si="7"/>
        <v>312999.04580536782</v>
      </c>
    </row>
    <row r="39" spans="1:36" x14ac:dyDescent="0.3">
      <c r="A39" s="160">
        <f t="shared" si="3"/>
        <v>35</v>
      </c>
      <c r="B39" s="8" t="s">
        <v>106</v>
      </c>
      <c r="C39" s="8" t="s">
        <v>107</v>
      </c>
      <c r="D39" s="117" t="s">
        <v>423</v>
      </c>
      <c r="E39" s="11" t="s">
        <v>108</v>
      </c>
      <c r="F39" s="386">
        <f>VLOOKUP($E39,'2015 Appr staffing table'!$D:$K, F$1, FALSE)</f>
        <v>0</v>
      </c>
      <c r="G39" s="386">
        <f>VLOOKUP($E39,'2015 Appr staffing table'!$D:$K, G$1, FALSE)</f>
        <v>0</v>
      </c>
      <c r="H39" s="386">
        <f>VLOOKUP($E39,'2015 Appr staffing table'!$D:$K, H$1, FALSE)</f>
        <v>0</v>
      </c>
      <c r="I39" s="386">
        <f>VLOOKUP($E39,'2015 Appr staffing table'!$D:$K, I$1, FALSE)</f>
        <v>0</v>
      </c>
      <c r="J39" s="386">
        <f>VLOOKUP($E39,'2015 Appr staffing table'!$D:$K, J$1, FALSE)</f>
        <v>0</v>
      </c>
      <c r="K39" s="386">
        <f t="shared" si="4"/>
        <v>0</v>
      </c>
      <c r="L39" s="386">
        <f>VLOOKUP($E39,'2015 Appr staffing table'!$D:$K, L$1, FALSE)</f>
        <v>2</v>
      </c>
      <c r="M39" s="310">
        <f>VLOOKUP($E39,'2015 Appr staffing table'!$D:$S, 15, FALSE)</f>
        <v>0</v>
      </c>
      <c r="N39" s="311">
        <f>VLOOKUP($E39,'2015 Appr staffing table'!$D:$S, 16, FALSE)</f>
        <v>39827.156456787743</v>
      </c>
      <c r="O39" s="123"/>
      <c r="P39" s="123"/>
      <c r="Q39" s="90">
        <v>1000</v>
      </c>
      <c r="R39" s="88">
        <v>1000</v>
      </c>
      <c r="S39" s="89">
        <v>0</v>
      </c>
      <c r="T39" s="89"/>
      <c r="U39" s="89"/>
      <c r="V39" s="89">
        <v>1400</v>
      </c>
      <c r="W39" s="89">
        <v>1000</v>
      </c>
      <c r="X39" s="89">
        <v>1000</v>
      </c>
      <c r="Y39" s="89">
        <v>500</v>
      </c>
      <c r="Z39" s="89">
        <v>0</v>
      </c>
      <c r="AA39" s="89">
        <v>500</v>
      </c>
      <c r="AB39" s="123">
        <v>500</v>
      </c>
      <c r="AC39" s="181"/>
      <c r="AD39" s="184"/>
      <c r="AE39" s="184"/>
      <c r="AF39" s="184"/>
      <c r="AG39" s="420"/>
      <c r="AH39" s="10">
        <f t="shared" si="5"/>
        <v>40827.156456787743</v>
      </c>
      <c r="AI39" s="9">
        <f t="shared" si="6"/>
        <v>5900</v>
      </c>
      <c r="AJ39" s="202">
        <f t="shared" si="7"/>
        <v>46727.156456787743</v>
      </c>
    </row>
    <row r="40" spans="1:36" x14ac:dyDescent="0.3">
      <c r="A40" s="160">
        <f t="shared" si="3"/>
        <v>36</v>
      </c>
      <c r="B40" s="8" t="s">
        <v>109</v>
      </c>
      <c r="C40" s="8" t="s">
        <v>110</v>
      </c>
      <c r="D40" s="117" t="s">
        <v>423</v>
      </c>
      <c r="E40" s="11" t="s">
        <v>111</v>
      </c>
      <c r="F40" s="386">
        <f>VLOOKUP($E40,'2015 Appr staffing table'!$D:$K, F$1, FALSE)</f>
        <v>0</v>
      </c>
      <c r="G40" s="386">
        <f>VLOOKUP($E40,'2015 Appr staffing table'!$D:$K, G$1, FALSE)</f>
        <v>0</v>
      </c>
      <c r="H40" s="386">
        <f>VLOOKUP($E40,'2015 Appr staffing table'!$D:$K, H$1, FALSE)</f>
        <v>1</v>
      </c>
      <c r="I40" s="386">
        <f>VLOOKUP($E40,'2015 Appr staffing table'!$D:$K, I$1, FALSE)</f>
        <v>2</v>
      </c>
      <c r="J40" s="386">
        <f>VLOOKUP($E40,'2015 Appr staffing table'!$D:$K, J$1, FALSE)</f>
        <v>0</v>
      </c>
      <c r="K40" s="386">
        <f t="shared" si="4"/>
        <v>3</v>
      </c>
      <c r="L40" s="386">
        <f>VLOOKUP($E40,'2015 Appr staffing table'!$D:$K, L$1, FALSE)</f>
        <v>4</v>
      </c>
      <c r="M40" s="310">
        <f>VLOOKUP($E40,'2015 Appr staffing table'!$D:$S, 15, FALSE)</f>
        <v>521272.59998299298</v>
      </c>
      <c r="N40" s="311">
        <f>VLOOKUP($E40,'2015 Appr staffing table'!$D:$S, 16, FALSE)</f>
        <v>87370.280645092309</v>
      </c>
      <c r="O40" s="123"/>
      <c r="P40" s="123"/>
      <c r="Q40" s="90">
        <v>2000</v>
      </c>
      <c r="R40" s="88">
        <v>20000</v>
      </c>
      <c r="S40" s="89">
        <f>15000+15600</f>
        <v>30600</v>
      </c>
      <c r="T40" s="89"/>
      <c r="U40" s="89"/>
      <c r="V40" s="89">
        <v>10000</v>
      </c>
      <c r="W40" s="89">
        <v>6500</v>
      </c>
      <c r="X40" s="89">
        <v>5500</v>
      </c>
      <c r="Y40" s="89">
        <v>1500</v>
      </c>
      <c r="Z40" s="89">
        <v>1000</v>
      </c>
      <c r="AA40" s="89">
        <v>2000</v>
      </c>
      <c r="AB40" s="123">
        <v>2000</v>
      </c>
      <c r="AC40" s="181"/>
      <c r="AD40" s="184"/>
      <c r="AE40" s="184"/>
      <c r="AF40" s="184"/>
      <c r="AG40" s="420"/>
      <c r="AH40" s="10">
        <f t="shared" si="5"/>
        <v>610642.88062808523</v>
      </c>
      <c r="AI40" s="9">
        <f t="shared" si="6"/>
        <v>79100</v>
      </c>
      <c r="AJ40" s="202">
        <f t="shared" si="7"/>
        <v>689742.88062808523</v>
      </c>
    </row>
    <row r="41" spans="1:36" x14ac:dyDescent="0.3">
      <c r="A41" s="160">
        <f t="shared" si="3"/>
        <v>37</v>
      </c>
      <c r="B41" s="117" t="s">
        <v>391</v>
      </c>
      <c r="C41" s="8" t="s">
        <v>112</v>
      </c>
      <c r="D41" s="8" t="s">
        <v>327</v>
      </c>
      <c r="E41" s="11" t="s">
        <v>113</v>
      </c>
      <c r="F41" s="386">
        <f>VLOOKUP($E41,'2015 Appr staffing table'!$D:$K, F$1, FALSE)</f>
        <v>0</v>
      </c>
      <c r="G41" s="386">
        <f>VLOOKUP($E41,'2015 Appr staffing table'!$D:$K, G$1, FALSE)</f>
        <v>0</v>
      </c>
      <c r="H41" s="386">
        <f>VLOOKUP($E41,'2015 Appr staffing table'!$D:$K, H$1, FALSE)</f>
        <v>1</v>
      </c>
      <c r="I41" s="386">
        <f>VLOOKUP($E41,'2015 Appr staffing table'!$D:$K, I$1, FALSE)</f>
        <v>1</v>
      </c>
      <c r="J41" s="386">
        <f>VLOOKUP($E41,'2015 Appr staffing table'!$D:$K, J$1, FALSE)</f>
        <v>0</v>
      </c>
      <c r="K41" s="386">
        <f t="shared" si="4"/>
        <v>2</v>
      </c>
      <c r="L41" s="386">
        <f>VLOOKUP($E41,'2015 Appr staffing table'!$D:$K, L$1, FALSE)</f>
        <v>2</v>
      </c>
      <c r="M41" s="310">
        <f>VLOOKUP($E41,'2015 Appr staffing table'!$D:$S, 15, FALSE)</f>
        <v>340463.06726579339</v>
      </c>
      <c r="N41" s="311">
        <f>VLOOKUP($E41,'2015 Appr staffing table'!$D:$S, 16, FALSE)</f>
        <v>56000.159246126546</v>
      </c>
      <c r="O41" s="123"/>
      <c r="P41" s="123"/>
      <c r="Q41" s="90">
        <v>1500</v>
      </c>
      <c r="R41" s="88">
        <v>5000</v>
      </c>
      <c r="S41" s="89">
        <v>12100</v>
      </c>
      <c r="T41" s="89"/>
      <c r="U41" s="89"/>
      <c r="V41" s="89">
        <f>7800+2500</f>
        <v>10300</v>
      </c>
      <c r="W41" s="89">
        <v>2000</v>
      </c>
      <c r="X41" s="89">
        <f>1000+400</f>
        <v>1400</v>
      </c>
      <c r="Y41" s="89">
        <v>1300</v>
      </c>
      <c r="Z41" s="89">
        <v>1000</v>
      </c>
      <c r="AA41" s="89">
        <v>1000</v>
      </c>
      <c r="AB41" s="123">
        <v>800</v>
      </c>
      <c r="AC41" s="181"/>
      <c r="AD41" s="184"/>
      <c r="AE41" s="184"/>
      <c r="AF41" s="184"/>
      <c r="AG41" s="420"/>
      <c r="AH41" s="10">
        <f t="shared" si="5"/>
        <v>397963.22651191993</v>
      </c>
      <c r="AI41" s="9">
        <f t="shared" si="6"/>
        <v>34900</v>
      </c>
      <c r="AJ41" s="202">
        <f t="shared" si="7"/>
        <v>432863.22651191993</v>
      </c>
    </row>
    <row r="42" spans="1:36" x14ac:dyDescent="0.3">
      <c r="A42" s="160">
        <f t="shared" si="3"/>
        <v>38</v>
      </c>
      <c r="B42" s="8" t="s">
        <v>114</v>
      </c>
      <c r="C42" s="8" t="s">
        <v>115</v>
      </c>
      <c r="D42" s="117" t="s">
        <v>423</v>
      </c>
      <c r="E42" s="11" t="s">
        <v>116</v>
      </c>
      <c r="F42" s="386">
        <f>VLOOKUP($E42,'2015 Appr staffing table'!$D:$K, F$1, FALSE)</f>
        <v>0</v>
      </c>
      <c r="G42" s="386">
        <f>VLOOKUP($E42,'2015 Appr staffing table'!$D:$K, G$1, FALSE)</f>
        <v>0</v>
      </c>
      <c r="H42" s="386">
        <f>VLOOKUP($E42,'2015 Appr staffing table'!$D:$K, H$1, FALSE)</f>
        <v>1</v>
      </c>
      <c r="I42" s="386">
        <f>VLOOKUP($E42,'2015 Appr staffing table'!$D:$K, I$1, FALSE)</f>
        <v>0</v>
      </c>
      <c r="J42" s="386">
        <f>VLOOKUP($E42,'2015 Appr staffing table'!$D:$K, J$1, FALSE)</f>
        <v>0</v>
      </c>
      <c r="K42" s="386">
        <f t="shared" si="4"/>
        <v>1</v>
      </c>
      <c r="L42" s="386">
        <f>VLOOKUP($E42,'2015 Appr staffing table'!$D:$K, L$1, FALSE)</f>
        <v>2</v>
      </c>
      <c r="M42" s="310">
        <f>VLOOKUP($E42,'2015 Appr staffing table'!$D:$S, 15, FALSE)</f>
        <v>187399.96493399164</v>
      </c>
      <c r="N42" s="311">
        <f>VLOOKUP($E42,'2015 Appr staffing table'!$D:$S, 16, FALSE)</f>
        <v>76761.892196834597</v>
      </c>
      <c r="O42" s="123"/>
      <c r="P42" s="395"/>
      <c r="Q42" s="90">
        <v>1000</v>
      </c>
      <c r="R42" s="88">
        <v>4000</v>
      </c>
      <c r="S42" s="89">
        <v>12000</v>
      </c>
      <c r="T42" s="89"/>
      <c r="U42" s="113"/>
      <c r="V42" s="89">
        <v>6000</v>
      </c>
      <c r="W42" s="89">
        <v>1000</v>
      </c>
      <c r="X42" s="89">
        <v>2000</v>
      </c>
      <c r="Y42" s="89">
        <v>700</v>
      </c>
      <c r="Z42" s="89">
        <v>500</v>
      </c>
      <c r="AA42" s="89">
        <v>500</v>
      </c>
      <c r="AB42" s="123">
        <v>500</v>
      </c>
      <c r="AC42" s="181"/>
      <c r="AD42" s="184"/>
      <c r="AE42" s="184"/>
      <c r="AF42" s="184"/>
      <c r="AG42" s="420"/>
      <c r="AH42" s="10">
        <f t="shared" si="5"/>
        <v>265161.85713082622</v>
      </c>
      <c r="AI42" s="9">
        <f t="shared" si="6"/>
        <v>27200</v>
      </c>
      <c r="AJ42" s="202">
        <f t="shared" si="7"/>
        <v>292361.85713082622</v>
      </c>
    </row>
    <row r="43" spans="1:36" x14ac:dyDescent="0.3">
      <c r="A43" s="160">
        <f t="shared" si="3"/>
        <v>39</v>
      </c>
      <c r="B43" s="117" t="s">
        <v>372</v>
      </c>
      <c r="C43" s="8" t="s">
        <v>117</v>
      </c>
      <c r="D43" s="117" t="s">
        <v>423</v>
      </c>
      <c r="E43" s="11" t="s">
        <v>118</v>
      </c>
      <c r="F43" s="386">
        <f>VLOOKUP($E43,'2015 Appr staffing table'!$D:$K, F$1, FALSE)</f>
        <v>0</v>
      </c>
      <c r="G43" s="386">
        <f>VLOOKUP($E43,'2015 Appr staffing table'!$D:$K, G$1, FALSE)</f>
        <v>0</v>
      </c>
      <c r="H43" s="386">
        <f>VLOOKUP($E43,'2015 Appr staffing table'!$D:$K, H$1, FALSE)</f>
        <v>0</v>
      </c>
      <c r="I43" s="386">
        <f>VLOOKUP($E43,'2015 Appr staffing table'!$D:$K, I$1, FALSE)</f>
        <v>0</v>
      </c>
      <c r="J43" s="386">
        <f>VLOOKUP($E43,'2015 Appr staffing table'!$D:$K, J$1, FALSE)</f>
        <v>0</v>
      </c>
      <c r="K43" s="386">
        <f t="shared" si="4"/>
        <v>0</v>
      </c>
      <c r="L43" s="386">
        <f>VLOOKUP($E43,'2015 Appr staffing table'!$D:$K, L$1, FALSE)</f>
        <v>2</v>
      </c>
      <c r="M43" s="310">
        <f>VLOOKUP($E43,'2015 Appr staffing table'!$D:$S, 15, FALSE)</f>
        <v>0</v>
      </c>
      <c r="N43" s="311">
        <f>VLOOKUP($E43,'2015 Appr staffing table'!$D:$S, 16, FALSE)</f>
        <v>25436.120214510156</v>
      </c>
      <c r="O43" s="123"/>
      <c r="P43" s="123"/>
      <c r="Q43" s="90">
        <v>1000</v>
      </c>
      <c r="R43" s="88">
        <v>2000</v>
      </c>
      <c r="S43" s="89">
        <v>5000</v>
      </c>
      <c r="T43" s="89"/>
      <c r="U43" s="286"/>
      <c r="V43" s="89">
        <v>1200</v>
      </c>
      <c r="W43" s="89">
        <v>1500</v>
      </c>
      <c r="X43" s="89">
        <v>1500</v>
      </c>
      <c r="Y43" s="89">
        <v>300</v>
      </c>
      <c r="Z43" s="89">
        <v>0</v>
      </c>
      <c r="AA43" s="89">
        <v>500</v>
      </c>
      <c r="AB43" s="123">
        <v>500</v>
      </c>
      <c r="AC43" s="181"/>
      <c r="AD43" s="184"/>
      <c r="AE43" s="184"/>
      <c r="AF43" s="184"/>
      <c r="AG43" s="420"/>
      <c r="AH43" s="10">
        <f t="shared" si="5"/>
        <v>26436.120214510156</v>
      </c>
      <c r="AI43" s="9">
        <f t="shared" si="6"/>
        <v>12500</v>
      </c>
      <c r="AJ43" s="202">
        <f t="shared" si="7"/>
        <v>38936.120214510156</v>
      </c>
    </row>
    <row r="44" spans="1:36" x14ac:dyDescent="0.3">
      <c r="A44" s="160">
        <f t="shared" si="3"/>
        <v>40</v>
      </c>
      <c r="B44" s="8" t="s">
        <v>119</v>
      </c>
      <c r="C44" s="8" t="s">
        <v>120</v>
      </c>
      <c r="D44" s="8" t="s">
        <v>328</v>
      </c>
      <c r="E44" s="11" t="s">
        <v>121</v>
      </c>
      <c r="F44" s="386">
        <f>VLOOKUP($E44,'2015 Appr staffing table'!$D:$K, F$1, FALSE)</f>
        <v>0</v>
      </c>
      <c r="G44" s="386">
        <f>VLOOKUP($E44,'2015 Appr staffing table'!$D:$K, G$1, FALSE)</f>
        <v>0</v>
      </c>
      <c r="H44" s="386">
        <f>VLOOKUP($E44,'2015 Appr staffing table'!$D:$K, H$1, FALSE)</f>
        <v>1</v>
      </c>
      <c r="I44" s="386">
        <f>VLOOKUP($E44,'2015 Appr staffing table'!$D:$K, I$1, FALSE)</f>
        <v>1</v>
      </c>
      <c r="J44" s="386">
        <f>VLOOKUP($E44,'2015 Appr staffing table'!$D:$K, J$1, FALSE)</f>
        <v>0</v>
      </c>
      <c r="K44" s="386">
        <f t="shared" si="4"/>
        <v>2</v>
      </c>
      <c r="L44" s="386">
        <f>VLOOKUP($E44,'2015 Appr staffing table'!$D:$K, L$1, FALSE)</f>
        <v>3</v>
      </c>
      <c r="M44" s="310">
        <f>VLOOKUP($E44,'2015 Appr staffing table'!$D:$S, 15, FALSE)</f>
        <v>354462.855620772</v>
      </c>
      <c r="N44" s="311">
        <f>VLOOKUP($E44,'2015 Appr staffing table'!$D:$S, 16, FALSE)</f>
        <v>99194.478215054187</v>
      </c>
      <c r="O44" s="123"/>
      <c r="P44" s="123"/>
      <c r="Q44" s="90">
        <v>1500</v>
      </c>
      <c r="R44" s="88">
        <v>7000</v>
      </c>
      <c r="S44" s="89">
        <f>22000+2900</f>
        <v>24900</v>
      </c>
      <c r="T44" s="89"/>
      <c r="U44" s="89"/>
      <c r="V44" s="89">
        <v>5500</v>
      </c>
      <c r="W44" s="89">
        <v>5000</v>
      </c>
      <c r="X44" s="89">
        <f>5000+3500</f>
        <v>8500</v>
      </c>
      <c r="Y44" s="89">
        <v>1500</v>
      </c>
      <c r="Z44" s="89">
        <v>1000</v>
      </c>
      <c r="AA44" s="89">
        <v>1000</v>
      </c>
      <c r="AB44" s="123">
        <v>2800</v>
      </c>
      <c r="AC44" s="181"/>
      <c r="AD44" s="184"/>
      <c r="AE44" s="184"/>
      <c r="AF44" s="184"/>
      <c r="AG44" s="420"/>
      <c r="AH44" s="10">
        <f t="shared" si="5"/>
        <v>455157.3338358262</v>
      </c>
      <c r="AI44" s="9">
        <f t="shared" si="6"/>
        <v>57200</v>
      </c>
      <c r="AJ44" s="202">
        <f t="shared" si="7"/>
        <v>512357.3338358262</v>
      </c>
    </row>
    <row r="45" spans="1:36" x14ac:dyDescent="0.3">
      <c r="A45" s="160">
        <f t="shared" si="3"/>
        <v>41</v>
      </c>
      <c r="B45" s="8" t="s">
        <v>122</v>
      </c>
      <c r="C45" s="8" t="s">
        <v>317</v>
      </c>
      <c r="D45" s="117" t="s">
        <v>423</v>
      </c>
      <c r="E45" s="11" t="s">
        <v>123</v>
      </c>
      <c r="F45" s="386">
        <f>VLOOKUP($E45,'2015 Appr staffing table'!$D:$K, F$1, FALSE)</f>
        <v>0</v>
      </c>
      <c r="G45" s="386">
        <f>VLOOKUP($E45,'2015 Appr staffing table'!$D:$K, G$1, FALSE)</f>
        <v>0</v>
      </c>
      <c r="H45" s="386">
        <f>VLOOKUP($E45,'2015 Appr staffing table'!$D:$K, H$1, FALSE)</f>
        <v>1</v>
      </c>
      <c r="I45" s="386">
        <f>VLOOKUP($E45,'2015 Appr staffing table'!$D:$K, I$1, FALSE)</f>
        <v>0</v>
      </c>
      <c r="J45" s="386">
        <f>VLOOKUP($E45,'2015 Appr staffing table'!$D:$K, J$1, FALSE)</f>
        <v>0</v>
      </c>
      <c r="K45" s="386">
        <f t="shared" si="4"/>
        <v>1</v>
      </c>
      <c r="L45" s="386">
        <f>VLOOKUP($E45,'2015 Appr staffing table'!$D:$K, L$1, FALSE)</f>
        <v>2</v>
      </c>
      <c r="M45" s="310">
        <f>VLOOKUP($E45,'2015 Appr staffing table'!$D:$S, 15, FALSE)</f>
        <v>187286.90140099998</v>
      </c>
      <c r="N45" s="311">
        <f>VLOOKUP($E45,'2015 Appr staffing table'!$D:$S, 16, FALSE)</f>
        <v>37237.544238486415</v>
      </c>
      <c r="O45" s="123"/>
      <c r="P45" s="123"/>
      <c r="Q45" s="90">
        <v>1000</v>
      </c>
      <c r="R45" s="88">
        <v>10000</v>
      </c>
      <c r="S45" s="89">
        <v>10300</v>
      </c>
      <c r="T45" s="89"/>
      <c r="U45" s="89"/>
      <c r="V45" s="89">
        <v>6500</v>
      </c>
      <c r="W45" s="89">
        <v>2500</v>
      </c>
      <c r="X45" s="89">
        <v>3000</v>
      </c>
      <c r="Y45" s="89">
        <v>1000</v>
      </c>
      <c r="Z45" s="89">
        <v>0</v>
      </c>
      <c r="AA45" s="89">
        <v>500</v>
      </c>
      <c r="AB45" s="123">
        <v>500</v>
      </c>
      <c r="AC45" s="181"/>
      <c r="AD45" s="184"/>
      <c r="AE45" s="184"/>
      <c r="AF45" s="184"/>
      <c r="AG45" s="420"/>
      <c r="AH45" s="10">
        <f t="shared" si="5"/>
        <v>225524.4456394864</v>
      </c>
      <c r="AI45" s="9">
        <f t="shared" si="6"/>
        <v>34300</v>
      </c>
      <c r="AJ45" s="202">
        <f t="shared" si="7"/>
        <v>259824.4456394864</v>
      </c>
    </row>
    <row r="46" spans="1:36" x14ac:dyDescent="0.3">
      <c r="A46" s="160">
        <f t="shared" si="3"/>
        <v>42</v>
      </c>
      <c r="B46" s="117" t="s">
        <v>411</v>
      </c>
      <c r="C46" s="8" t="s">
        <v>124</v>
      </c>
      <c r="D46" s="8" t="s">
        <v>328</v>
      </c>
      <c r="E46" s="11" t="s">
        <v>125</v>
      </c>
      <c r="F46" s="386">
        <f>VLOOKUP($E46,'2015 Appr staffing table'!$D:$K, F$1, FALSE)</f>
        <v>0</v>
      </c>
      <c r="G46" s="386">
        <f>VLOOKUP($E46,'2015 Appr staffing table'!$D:$K, G$1, FALSE)</f>
        <v>0</v>
      </c>
      <c r="H46" s="386">
        <f>VLOOKUP($E46,'2015 Appr staffing table'!$D:$K, H$1, FALSE)</f>
        <v>1</v>
      </c>
      <c r="I46" s="386">
        <f>VLOOKUP($E46,'2015 Appr staffing table'!$D:$K, I$1, FALSE)</f>
        <v>1</v>
      </c>
      <c r="J46" s="386">
        <f>VLOOKUP($E46,'2015 Appr staffing table'!$D:$K, J$1, FALSE)</f>
        <v>0</v>
      </c>
      <c r="K46" s="386">
        <f t="shared" si="4"/>
        <v>2</v>
      </c>
      <c r="L46" s="386">
        <f>VLOOKUP($E46,'2015 Appr staffing table'!$D:$K, L$1, FALSE)</f>
        <v>3</v>
      </c>
      <c r="M46" s="310">
        <f>VLOOKUP($E46,'2015 Appr staffing table'!$D:$S, 15, FALSE)</f>
        <v>344840.88853154914</v>
      </c>
      <c r="N46" s="311">
        <f>VLOOKUP($E46,'2015 Appr staffing table'!$D:$S, 16, FALSE)</f>
        <v>134260.67584139085</v>
      </c>
      <c r="O46" s="123"/>
      <c r="P46" s="123"/>
      <c r="Q46" s="90">
        <v>1500</v>
      </c>
      <c r="R46" s="88">
        <v>12000</v>
      </c>
      <c r="S46" s="89">
        <v>47700</v>
      </c>
      <c r="T46" s="89"/>
      <c r="U46" s="89"/>
      <c r="V46" s="89">
        <v>6000</v>
      </c>
      <c r="W46" s="89">
        <v>3000</v>
      </c>
      <c r="X46" s="89">
        <v>4500</v>
      </c>
      <c r="Y46" s="89">
        <v>2300</v>
      </c>
      <c r="Z46" s="89">
        <v>1000</v>
      </c>
      <c r="AA46" s="89">
        <v>2000</v>
      </c>
      <c r="AB46" s="123">
        <v>2500</v>
      </c>
      <c r="AC46" s="181"/>
      <c r="AD46" s="184"/>
      <c r="AE46" s="184"/>
      <c r="AF46" s="184"/>
      <c r="AG46" s="420"/>
      <c r="AH46" s="10">
        <f t="shared" si="5"/>
        <v>480601.56437293999</v>
      </c>
      <c r="AI46" s="9">
        <f t="shared" si="6"/>
        <v>81000</v>
      </c>
      <c r="AJ46" s="202">
        <f t="shared" si="7"/>
        <v>561601.56437293999</v>
      </c>
    </row>
    <row r="47" spans="1:36" x14ac:dyDescent="0.3">
      <c r="A47" s="160">
        <f t="shared" si="3"/>
        <v>43</v>
      </c>
      <c r="B47" s="117" t="s">
        <v>373</v>
      </c>
      <c r="C47" s="8" t="s">
        <v>126</v>
      </c>
      <c r="D47" s="117" t="s">
        <v>423</v>
      </c>
      <c r="E47" s="11" t="s">
        <v>127</v>
      </c>
      <c r="F47" s="386">
        <f>VLOOKUP($E47,'2015 Appr staffing table'!$D:$K, F$1, FALSE)</f>
        <v>0</v>
      </c>
      <c r="G47" s="386">
        <f>VLOOKUP($E47,'2015 Appr staffing table'!$D:$K, G$1, FALSE)</f>
        <v>0</v>
      </c>
      <c r="H47" s="386">
        <f>VLOOKUP($E47,'2015 Appr staffing table'!$D:$K, H$1, FALSE)</f>
        <v>1</v>
      </c>
      <c r="I47" s="386">
        <f>VLOOKUP($E47,'2015 Appr staffing table'!$D:$K, I$1, FALSE)</f>
        <v>0</v>
      </c>
      <c r="J47" s="386">
        <f>VLOOKUP($E47,'2015 Appr staffing table'!$D:$K, J$1, FALSE)</f>
        <v>0</v>
      </c>
      <c r="K47" s="386">
        <f t="shared" si="4"/>
        <v>1</v>
      </c>
      <c r="L47" s="386">
        <f>VLOOKUP($E47,'2015 Appr staffing table'!$D:$K, L$1, FALSE)</f>
        <v>2</v>
      </c>
      <c r="M47" s="310">
        <f>VLOOKUP($E47,'2015 Appr staffing table'!$D:$S, 15, FALSE)</f>
        <v>218101.83635364164</v>
      </c>
      <c r="N47" s="311">
        <f>VLOOKUP($E47,'2015 Appr staffing table'!$D:$S, 16, FALSE)</f>
        <v>45749.380618522096</v>
      </c>
      <c r="O47" s="123"/>
      <c r="P47" s="123"/>
      <c r="Q47" s="90">
        <v>1500</v>
      </c>
      <c r="R47" s="88">
        <v>8000</v>
      </c>
      <c r="S47" s="89">
        <v>21300</v>
      </c>
      <c r="T47" s="89"/>
      <c r="U47" s="89"/>
      <c r="V47" s="89">
        <v>12000</v>
      </c>
      <c r="W47" s="89">
        <v>3000</v>
      </c>
      <c r="X47" s="89">
        <v>3500</v>
      </c>
      <c r="Y47" s="89">
        <v>1000</v>
      </c>
      <c r="Z47" s="89">
        <v>500</v>
      </c>
      <c r="AA47" s="89">
        <v>500</v>
      </c>
      <c r="AB47" s="123">
        <v>500</v>
      </c>
      <c r="AC47" s="181"/>
      <c r="AD47" s="184"/>
      <c r="AE47" s="184"/>
      <c r="AF47" s="184"/>
      <c r="AG47" s="420"/>
      <c r="AH47" s="10">
        <f t="shared" si="5"/>
        <v>265351.21697216376</v>
      </c>
      <c r="AI47" s="9">
        <f t="shared" si="6"/>
        <v>50300</v>
      </c>
      <c r="AJ47" s="202">
        <f t="shared" si="7"/>
        <v>315651.21697216376</v>
      </c>
    </row>
    <row r="48" spans="1:36" x14ac:dyDescent="0.3">
      <c r="A48" s="160">
        <f t="shared" si="3"/>
        <v>44</v>
      </c>
      <c r="B48" s="117" t="s">
        <v>374</v>
      </c>
      <c r="C48" s="8" t="s">
        <v>128</v>
      </c>
      <c r="D48" s="117" t="s">
        <v>423</v>
      </c>
      <c r="E48" s="11" t="s">
        <v>129</v>
      </c>
      <c r="F48" s="386">
        <f>VLOOKUP($E48,'2015 Appr staffing table'!$D:$K, F$1, FALSE)</f>
        <v>0</v>
      </c>
      <c r="G48" s="386">
        <f>VLOOKUP($E48,'2015 Appr staffing table'!$D:$K, G$1, FALSE)</f>
        <v>0</v>
      </c>
      <c r="H48" s="386">
        <f>VLOOKUP($E48,'2015 Appr staffing table'!$D:$K, H$1, FALSE)</f>
        <v>1</v>
      </c>
      <c r="I48" s="386">
        <f>VLOOKUP($E48,'2015 Appr staffing table'!$D:$K, I$1, FALSE)</f>
        <v>0</v>
      </c>
      <c r="J48" s="386">
        <f>VLOOKUP($E48,'2015 Appr staffing table'!$D:$K, J$1, FALSE)</f>
        <v>0</v>
      </c>
      <c r="K48" s="386">
        <f t="shared" si="4"/>
        <v>1</v>
      </c>
      <c r="L48" s="386">
        <f>VLOOKUP($E48,'2015 Appr staffing table'!$D:$K, L$1, FALSE)</f>
        <v>2</v>
      </c>
      <c r="M48" s="310">
        <f>VLOOKUP($E48,'2015 Appr staffing table'!$D:$S, 15, FALSE)</f>
        <v>210788.99166983334</v>
      </c>
      <c r="N48" s="311">
        <f>VLOOKUP($E48,'2015 Appr staffing table'!$D:$S, 16, FALSE)</f>
        <v>76363.830399112281</v>
      </c>
      <c r="O48" s="123"/>
      <c r="P48" s="123"/>
      <c r="Q48" s="90">
        <v>1000</v>
      </c>
      <c r="R48" s="88">
        <f>5000+6500</f>
        <v>11500</v>
      </c>
      <c r="S48" s="89">
        <v>23900</v>
      </c>
      <c r="T48" s="89"/>
      <c r="U48" s="89"/>
      <c r="V48" s="89">
        <v>3000</v>
      </c>
      <c r="W48" s="89">
        <v>1500</v>
      </c>
      <c r="X48" s="89">
        <v>3000</v>
      </c>
      <c r="Y48" s="89">
        <v>700</v>
      </c>
      <c r="Z48" s="89">
        <v>500</v>
      </c>
      <c r="AA48" s="89">
        <v>500</v>
      </c>
      <c r="AB48" s="123">
        <v>500</v>
      </c>
      <c r="AC48" s="181"/>
      <c r="AD48" s="184"/>
      <c r="AE48" s="184"/>
      <c r="AF48" s="184"/>
      <c r="AG48" s="420"/>
      <c r="AH48" s="261">
        <f t="shared" si="5"/>
        <v>288152.82206894562</v>
      </c>
      <c r="AI48" s="9">
        <f t="shared" si="6"/>
        <v>45100</v>
      </c>
      <c r="AJ48" s="202">
        <f t="shared" si="7"/>
        <v>333252.82206894562</v>
      </c>
    </row>
    <row r="49" spans="1:36" x14ac:dyDescent="0.3">
      <c r="A49" s="160">
        <f t="shared" si="3"/>
        <v>45</v>
      </c>
      <c r="B49" s="8" t="s">
        <v>130</v>
      </c>
      <c r="C49" s="8" t="s">
        <v>131</v>
      </c>
      <c r="D49" s="8" t="s">
        <v>328</v>
      </c>
      <c r="E49" s="11" t="s">
        <v>132</v>
      </c>
      <c r="F49" s="386">
        <f>VLOOKUP($E49,'2015 Appr staffing table'!$D:$K, F$1, FALSE)</f>
        <v>0</v>
      </c>
      <c r="G49" s="386">
        <f>VLOOKUP($E49,'2015 Appr staffing table'!$D:$K, G$1, FALSE)</f>
        <v>0</v>
      </c>
      <c r="H49" s="386">
        <f>VLOOKUP($E49,'2015 Appr staffing table'!$D:$K, H$1, FALSE)</f>
        <v>1</v>
      </c>
      <c r="I49" s="386">
        <f>VLOOKUP($E49,'2015 Appr staffing table'!$D:$K, I$1, FALSE)</f>
        <v>0</v>
      </c>
      <c r="J49" s="386">
        <f>VLOOKUP($E49,'2015 Appr staffing table'!$D:$K, J$1, FALSE)</f>
        <v>0</v>
      </c>
      <c r="K49" s="386">
        <f t="shared" si="4"/>
        <v>1</v>
      </c>
      <c r="L49" s="386">
        <f>VLOOKUP($E49,'2015 Appr staffing table'!$D:$K, L$1, FALSE)</f>
        <v>2</v>
      </c>
      <c r="M49" s="310">
        <f>VLOOKUP($E49,'2015 Appr staffing table'!$D:$S, 15, FALSE)</f>
        <v>188665.28707879165</v>
      </c>
      <c r="N49" s="311">
        <f>VLOOKUP($E49,'2015 Appr staffing table'!$D:$S, 16, FALSE)</f>
        <v>45094.401579334532</v>
      </c>
      <c r="O49" s="123"/>
      <c r="P49" s="123"/>
      <c r="Q49" s="90">
        <v>1000</v>
      </c>
      <c r="R49" s="88">
        <v>7000</v>
      </c>
      <c r="S49" s="89">
        <v>23500</v>
      </c>
      <c r="T49" s="89"/>
      <c r="U49" s="89"/>
      <c r="V49" s="89">
        <v>6000</v>
      </c>
      <c r="W49" s="89">
        <v>700</v>
      </c>
      <c r="X49" s="89">
        <v>1000</v>
      </c>
      <c r="Y49" s="89">
        <v>1000</v>
      </c>
      <c r="Z49" s="89">
        <v>1000</v>
      </c>
      <c r="AA49" s="89">
        <v>500</v>
      </c>
      <c r="AB49" s="123">
        <v>500</v>
      </c>
      <c r="AC49" s="181"/>
      <c r="AD49" s="184"/>
      <c r="AE49" s="184"/>
      <c r="AF49" s="184"/>
      <c r="AG49" s="420"/>
      <c r="AH49" s="10">
        <f t="shared" si="5"/>
        <v>234759.68865812616</v>
      </c>
      <c r="AI49" s="9">
        <f t="shared" si="6"/>
        <v>41200</v>
      </c>
      <c r="AJ49" s="202">
        <f t="shared" si="7"/>
        <v>275959.68865812616</v>
      </c>
    </row>
    <row r="50" spans="1:36" x14ac:dyDescent="0.3">
      <c r="A50" s="160">
        <f t="shared" si="3"/>
        <v>46</v>
      </c>
      <c r="B50" s="117" t="s">
        <v>412</v>
      </c>
      <c r="C50" s="8" t="s">
        <v>133</v>
      </c>
      <c r="D50" s="117" t="s">
        <v>339</v>
      </c>
      <c r="E50" s="11" t="s">
        <v>134</v>
      </c>
      <c r="F50" s="386">
        <f>VLOOKUP($E50,'2015 Appr staffing table'!$D:$K, F$1, FALSE)</f>
        <v>0</v>
      </c>
      <c r="G50" s="386">
        <f>VLOOKUP($E50,'2015 Appr staffing table'!$D:$K, G$1, FALSE)</f>
        <v>1</v>
      </c>
      <c r="H50" s="386">
        <f>VLOOKUP($E50,'2015 Appr staffing table'!$D:$K, H$1, FALSE)</f>
        <v>1</v>
      </c>
      <c r="I50" s="386">
        <f>VLOOKUP($E50,'2015 Appr staffing table'!$D:$K, I$1, FALSE)</f>
        <v>1</v>
      </c>
      <c r="J50" s="386">
        <f>VLOOKUP($E50,'2015 Appr staffing table'!$D:$K, J$1, FALSE)</f>
        <v>0</v>
      </c>
      <c r="K50" s="386">
        <f t="shared" si="4"/>
        <v>3</v>
      </c>
      <c r="L50" s="386">
        <f>VLOOKUP($E50,'2015 Appr staffing table'!$D:$K, L$1, FALSE)</f>
        <v>5</v>
      </c>
      <c r="M50" s="310">
        <f>VLOOKUP($E50,'2015 Appr staffing table'!$D:$S, 15, FALSE)</f>
        <v>745661.49427209923</v>
      </c>
      <c r="N50" s="311">
        <f>VLOOKUP($E50,'2015 Appr staffing table'!$D:$S, 16, FALSE)</f>
        <v>165206.09623568022</v>
      </c>
      <c r="O50" s="123"/>
      <c r="P50" s="123"/>
      <c r="Q50" s="90">
        <v>2000</v>
      </c>
      <c r="R50" s="88">
        <v>3000</v>
      </c>
      <c r="S50" s="89"/>
      <c r="T50" s="89"/>
      <c r="U50" s="89"/>
      <c r="V50" s="89">
        <v>10000</v>
      </c>
      <c r="W50" s="89">
        <v>3000</v>
      </c>
      <c r="X50" s="89">
        <v>1500</v>
      </c>
      <c r="Y50" s="89">
        <v>2000</v>
      </c>
      <c r="Z50" s="89">
        <v>1000</v>
      </c>
      <c r="AA50" s="89">
        <v>1000</v>
      </c>
      <c r="AB50" s="123">
        <v>500</v>
      </c>
      <c r="AC50" s="181"/>
      <c r="AD50" s="184"/>
      <c r="AE50" s="184"/>
      <c r="AF50" s="184"/>
      <c r="AG50" s="420"/>
      <c r="AH50" s="10">
        <f t="shared" si="5"/>
        <v>912867.5905077795</v>
      </c>
      <c r="AI50" s="9">
        <f t="shared" si="6"/>
        <v>22000</v>
      </c>
      <c r="AJ50" s="202">
        <f t="shared" si="7"/>
        <v>934867.5905077795</v>
      </c>
    </row>
    <row r="51" spans="1:36" x14ac:dyDescent="0.3">
      <c r="A51" s="160">
        <f t="shared" si="3"/>
        <v>47</v>
      </c>
      <c r="B51" s="117" t="s">
        <v>413</v>
      </c>
      <c r="C51" s="8" t="s">
        <v>135</v>
      </c>
      <c r="D51" s="8" t="s">
        <v>328</v>
      </c>
      <c r="E51" s="11" t="s">
        <v>136</v>
      </c>
      <c r="F51" s="386">
        <f>VLOOKUP($E51,'2015 Appr staffing table'!$D:$K, F$1, FALSE)</f>
        <v>0</v>
      </c>
      <c r="G51" s="386">
        <f>VLOOKUP($E51,'2015 Appr staffing table'!$D:$K, G$1, FALSE)</f>
        <v>0</v>
      </c>
      <c r="H51" s="386">
        <f>VLOOKUP($E51,'2015 Appr staffing table'!$D:$K, H$1, FALSE)</f>
        <v>1</v>
      </c>
      <c r="I51" s="386">
        <f>VLOOKUP($E51,'2015 Appr staffing table'!$D:$K, I$1, FALSE)</f>
        <v>0</v>
      </c>
      <c r="J51" s="386">
        <f>VLOOKUP($E51,'2015 Appr staffing table'!$D:$K, J$1, FALSE)</f>
        <v>0</v>
      </c>
      <c r="K51" s="386">
        <f t="shared" si="4"/>
        <v>1</v>
      </c>
      <c r="L51" s="386">
        <f>VLOOKUP($E51,'2015 Appr staffing table'!$D:$K, L$1, FALSE)</f>
        <v>3</v>
      </c>
      <c r="M51" s="310">
        <f>VLOOKUP($E51,'2015 Appr staffing table'!$D:$S, 15, FALSE)</f>
        <v>174223.20068135834</v>
      </c>
      <c r="N51" s="311">
        <f>VLOOKUP($E51,'2015 Appr staffing table'!$D:$S, 16, FALSE)</f>
        <v>98110.835565062283</v>
      </c>
      <c r="O51" s="123"/>
      <c r="P51" s="123"/>
      <c r="Q51" s="90">
        <v>1000</v>
      </c>
      <c r="R51" s="88">
        <v>8000</v>
      </c>
      <c r="S51" s="89">
        <v>7800</v>
      </c>
      <c r="T51" s="89"/>
      <c r="U51" s="89"/>
      <c r="V51" s="89">
        <v>4200</v>
      </c>
      <c r="W51" s="89">
        <v>1700</v>
      </c>
      <c r="X51" s="89">
        <v>3800</v>
      </c>
      <c r="Y51" s="89">
        <v>1000</v>
      </c>
      <c r="Z51" s="89">
        <v>1000</v>
      </c>
      <c r="AA51" s="89">
        <v>500</v>
      </c>
      <c r="AB51" s="123">
        <v>1000</v>
      </c>
      <c r="AC51" s="181"/>
      <c r="AD51" s="184"/>
      <c r="AE51" s="184"/>
      <c r="AF51" s="184"/>
      <c r="AG51" s="420"/>
      <c r="AH51" s="10">
        <f t="shared" si="5"/>
        <v>273334.03624642064</v>
      </c>
      <c r="AI51" s="9">
        <f t="shared" si="6"/>
        <v>29000</v>
      </c>
      <c r="AJ51" s="202">
        <f t="shared" si="7"/>
        <v>302334.03624642064</v>
      </c>
    </row>
    <row r="52" spans="1:36" x14ac:dyDescent="0.3">
      <c r="A52" s="160">
        <f t="shared" si="3"/>
        <v>48</v>
      </c>
      <c r="B52" s="8" t="s">
        <v>137</v>
      </c>
      <c r="C52" s="8" t="s">
        <v>138</v>
      </c>
      <c r="D52" s="8" t="s">
        <v>327</v>
      </c>
      <c r="E52" s="11" t="s">
        <v>139</v>
      </c>
      <c r="F52" s="386">
        <f>VLOOKUP($E52,'2015 Appr staffing table'!$D:$K, F$1, FALSE)</f>
        <v>0</v>
      </c>
      <c r="G52" s="386">
        <f>VLOOKUP($E52,'2015 Appr staffing table'!$D:$K, G$1, FALSE)</f>
        <v>1</v>
      </c>
      <c r="H52" s="386">
        <f>VLOOKUP($E52,'2015 Appr staffing table'!$D:$K, H$1, FALSE)</f>
        <v>1</v>
      </c>
      <c r="I52" s="386">
        <f>VLOOKUP($E52,'2015 Appr staffing table'!$D:$K, I$1, FALSE)</f>
        <v>1</v>
      </c>
      <c r="J52" s="386">
        <f>VLOOKUP($E52,'2015 Appr staffing table'!$D:$K, J$1, FALSE)</f>
        <v>0</v>
      </c>
      <c r="K52" s="386">
        <f t="shared" si="4"/>
        <v>3</v>
      </c>
      <c r="L52" s="386">
        <f>VLOOKUP($E52,'2015 Appr staffing table'!$D:$K, L$1, FALSE)</f>
        <v>4</v>
      </c>
      <c r="M52" s="310">
        <f>VLOOKUP($E52,'2015 Appr staffing table'!$D:$S, 15, FALSE)</f>
        <v>556741.85202096379</v>
      </c>
      <c r="N52" s="311">
        <f>VLOOKUP($E52,'2015 Appr staffing table'!$D:$S, 16, FALSE)</f>
        <v>100532.45774487771</v>
      </c>
      <c r="O52" s="123"/>
      <c r="P52" s="123"/>
      <c r="Q52" s="90">
        <v>2000</v>
      </c>
      <c r="R52" s="88">
        <v>25000</v>
      </c>
      <c r="S52" s="89">
        <v>27000</v>
      </c>
      <c r="T52" s="89"/>
      <c r="U52" s="89"/>
      <c r="V52" s="89">
        <v>6000</v>
      </c>
      <c r="W52" s="89">
        <v>4500</v>
      </c>
      <c r="X52" s="89">
        <v>7000</v>
      </c>
      <c r="Y52" s="89">
        <v>3000</v>
      </c>
      <c r="Z52" s="89">
        <v>1000</v>
      </c>
      <c r="AA52" s="89">
        <v>1500</v>
      </c>
      <c r="AB52" s="123">
        <v>2000</v>
      </c>
      <c r="AC52" s="181"/>
      <c r="AD52" s="184"/>
      <c r="AE52" s="184"/>
      <c r="AF52" s="184"/>
      <c r="AG52" s="420"/>
      <c r="AH52" s="10">
        <f t="shared" si="5"/>
        <v>659274.30976584146</v>
      </c>
      <c r="AI52" s="9">
        <f t="shared" si="6"/>
        <v>77000</v>
      </c>
      <c r="AJ52" s="202">
        <f t="shared" si="7"/>
        <v>736274.30976584146</v>
      </c>
    </row>
    <row r="53" spans="1:36" x14ac:dyDescent="0.3">
      <c r="A53" s="160">
        <f t="shared" si="3"/>
        <v>49</v>
      </c>
      <c r="B53" s="117" t="s">
        <v>392</v>
      </c>
      <c r="C53" s="8" t="s">
        <v>140</v>
      </c>
      <c r="D53" s="8" t="s">
        <v>327</v>
      </c>
      <c r="E53" s="11" t="s">
        <v>141</v>
      </c>
      <c r="F53" s="386">
        <f>VLOOKUP($E53,'2015 Appr staffing table'!$D:$K, F$1, FALSE)</f>
        <v>0</v>
      </c>
      <c r="G53" s="386">
        <f>VLOOKUP($E53,'2015 Appr staffing table'!$D:$K, G$1, FALSE)</f>
        <v>1</v>
      </c>
      <c r="H53" s="386">
        <f>VLOOKUP($E53,'2015 Appr staffing table'!$D:$K, H$1, FALSE)</f>
        <v>2</v>
      </c>
      <c r="I53" s="386">
        <f>VLOOKUP($E53,'2015 Appr staffing table'!$D:$K, I$1, FALSE)</f>
        <v>2</v>
      </c>
      <c r="J53" s="386">
        <f>VLOOKUP($E53,'2015 Appr staffing table'!$D:$K, J$1, FALSE)</f>
        <v>0</v>
      </c>
      <c r="K53" s="386">
        <f t="shared" si="4"/>
        <v>5</v>
      </c>
      <c r="L53" s="386">
        <f>VLOOKUP($E53,'2015 Appr staffing table'!$D:$K, L$1, FALSE)</f>
        <v>9</v>
      </c>
      <c r="M53" s="310">
        <f>VLOOKUP($E53,'2015 Appr staffing table'!$D:$S, 15, FALSE)</f>
        <v>896782.75698761037</v>
      </c>
      <c r="N53" s="311">
        <f>VLOOKUP($E53,'2015 Appr staffing table'!$D:$S, 16, FALSE)</f>
        <v>259205.22837799764</v>
      </c>
      <c r="O53" s="123"/>
      <c r="P53" s="123"/>
      <c r="Q53" s="90">
        <v>4500</v>
      </c>
      <c r="R53" s="88">
        <v>70000</v>
      </c>
      <c r="S53" s="89">
        <v>130000</v>
      </c>
      <c r="T53" s="89"/>
      <c r="U53" s="89"/>
      <c r="V53" s="89">
        <v>36000</v>
      </c>
      <c r="W53" s="89">
        <v>5000</v>
      </c>
      <c r="X53" s="89">
        <v>9000</v>
      </c>
      <c r="Y53" s="89">
        <v>8000</v>
      </c>
      <c r="Z53" s="89">
        <v>1000</v>
      </c>
      <c r="AA53" s="89">
        <v>2000</v>
      </c>
      <c r="AB53" s="123">
        <v>6000</v>
      </c>
      <c r="AC53" s="181"/>
      <c r="AD53" s="184"/>
      <c r="AE53" s="184"/>
      <c r="AF53" s="184"/>
      <c r="AG53" s="420"/>
      <c r="AH53" s="10">
        <f t="shared" si="5"/>
        <v>1160487.985365608</v>
      </c>
      <c r="AI53" s="9">
        <f t="shared" si="6"/>
        <v>267000</v>
      </c>
      <c r="AJ53" s="202">
        <f t="shared" si="7"/>
        <v>1427487.985365608</v>
      </c>
    </row>
    <row r="54" spans="1:36" x14ac:dyDescent="0.3">
      <c r="A54" s="160">
        <f t="shared" si="3"/>
        <v>50</v>
      </c>
      <c r="B54" s="117" t="s">
        <v>393</v>
      </c>
      <c r="C54" s="8" t="s">
        <v>142</v>
      </c>
      <c r="D54" s="8" t="s">
        <v>329</v>
      </c>
      <c r="E54" s="11" t="s">
        <v>143</v>
      </c>
      <c r="F54" s="386">
        <f>VLOOKUP($E54,'2015 Appr staffing table'!$D:$K, F$1, FALSE)</f>
        <v>0</v>
      </c>
      <c r="G54" s="386">
        <f>VLOOKUP($E54,'2015 Appr staffing table'!$D:$K, G$1, FALSE)</f>
        <v>0</v>
      </c>
      <c r="H54" s="386">
        <f>VLOOKUP($E54,'2015 Appr staffing table'!$D:$K, H$1, FALSE)</f>
        <v>1</v>
      </c>
      <c r="I54" s="386">
        <f>VLOOKUP($E54,'2015 Appr staffing table'!$D:$K, I$1, FALSE)</f>
        <v>0</v>
      </c>
      <c r="J54" s="386">
        <f>VLOOKUP($E54,'2015 Appr staffing table'!$D:$K, J$1, FALSE)</f>
        <v>1</v>
      </c>
      <c r="K54" s="386">
        <f t="shared" si="4"/>
        <v>2</v>
      </c>
      <c r="L54" s="386">
        <f>VLOOKUP($E54,'2015 Appr staffing table'!$D:$K, L$1, FALSE)</f>
        <v>4</v>
      </c>
      <c r="M54" s="310">
        <f>VLOOKUP($E54,'2015 Appr staffing table'!$D:$S, 15, FALSE)</f>
        <v>355113.83954257378</v>
      </c>
      <c r="N54" s="311">
        <f>VLOOKUP($E54,'2015 Appr staffing table'!$D:$S, 16, FALSE)</f>
        <v>172317.12121857898</v>
      </c>
      <c r="O54" s="123"/>
      <c r="P54" s="123"/>
      <c r="Q54" s="90">
        <v>1500</v>
      </c>
      <c r="R54" s="88">
        <v>5000</v>
      </c>
      <c r="S54" s="89">
        <v>35000</v>
      </c>
      <c r="T54" s="89"/>
      <c r="U54" s="89"/>
      <c r="V54" s="89">
        <v>14000</v>
      </c>
      <c r="W54" s="89">
        <v>2000</v>
      </c>
      <c r="X54" s="89">
        <v>1500</v>
      </c>
      <c r="Y54" s="89">
        <v>1500</v>
      </c>
      <c r="Z54" s="89">
        <v>1000</v>
      </c>
      <c r="AA54" s="89">
        <v>1000</v>
      </c>
      <c r="AB54" s="123">
        <v>3000</v>
      </c>
      <c r="AC54" s="181"/>
      <c r="AD54" s="184"/>
      <c r="AE54" s="184"/>
      <c r="AF54" s="184"/>
      <c r="AG54" s="420"/>
      <c r="AH54" s="10">
        <f t="shared" si="5"/>
        <v>528930.96076115279</v>
      </c>
      <c r="AI54" s="9">
        <f t="shared" si="6"/>
        <v>64000</v>
      </c>
      <c r="AJ54" s="202">
        <f t="shared" si="7"/>
        <v>592930.96076115279</v>
      </c>
    </row>
    <row r="55" spans="1:36" x14ac:dyDescent="0.3">
      <c r="A55" s="160">
        <f t="shared" si="3"/>
        <v>51</v>
      </c>
      <c r="B55" s="8" t="s">
        <v>144</v>
      </c>
      <c r="C55" s="8" t="s">
        <v>145</v>
      </c>
      <c r="D55" s="8" t="s">
        <v>329</v>
      </c>
      <c r="E55" s="11" t="s">
        <v>146</v>
      </c>
      <c r="F55" s="386">
        <f>VLOOKUP($E55,'2015 Appr staffing table'!$D:$K, F$1, FALSE)</f>
        <v>0</v>
      </c>
      <c r="G55" s="386">
        <f>VLOOKUP($E55,'2015 Appr staffing table'!$D:$K, G$1, FALSE)</f>
        <v>1</v>
      </c>
      <c r="H55" s="386">
        <f>VLOOKUP($E55,'2015 Appr staffing table'!$D:$K, H$1, FALSE)</f>
        <v>5</v>
      </c>
      <c r="I55" s="386">
        <f>VLOOKUP($E55,'2015 Appr staffing table'!$D:$K, I$1, FALSE)</f>
        <v>2</v>
      </c>
      <c r="J55" s="386">
        <f>VLOOKUP($E55,'2015 Appr staffing table'!$D:$K, J$1, FALSE)</f>
        <v>0</v>
      </c>
      <c r="K55" s="386">
        <f t="shared" si="4"/>
        <v>8</v>
      </c>
      <c r="L55" s="386">
        <f>VLOOKUP($E55,'2015 Appr staffing table'!$D:$K, L$1, FALSE)</f>
        <v>6</v>
      </c>
      <c r="M55" s="310">
        <f>VLOOKUP($E55,'2015 Appr staffing table'!$D:$S, 15, FALSE)</f>
        <v>2022318.9363588456</v>
      </c>
      <c r="N55" s="311">
        <f>VLOOKUP($E55,'2015 Appr staffing table'!$D:$S, 16, FALSE)</f>
        <v>276710.00040858798</v>
      </c>
      <c r="O55" s="123"/>
      <c r="P55" s="123"/>
      <c r="Q55" s="90">
        <v>3000</v>
      </c>
      <c r="R55" s="128">
        <v>86400</v>
      </c>
      <c r="S55" s="129">
        <v>181200</v>
      </c>
      <c r="T55" s="129"/>
      <c r="U55" s="129"/>
      <c r="V55" s="129">
        <v>56300</v>
      </c>
      <c r="W55" s="129">
        <v>9600</v>
      </c>
      <c r="X55" s="129">
        <v>37500</v>
      </c>
      <c r="Y55" s="129">
        <v>3000</v>
      </c>
      <c r="Z55" s="129">
        <v>18600</v>
      </c>
      <c r="AA55" s="129">
        <v>11300</v>
      </c>
      <c r="AB55" s="130">
        <v>6000</v>
      </c>
      <c r="AC55" s="183"/>
      <c r="AD55" s="187">
        <v>4600</v>
      </c>
      <c r="AE55" s="184"/>
      <c r="AF55" s="184"/>
      <c r="AG55" s="420"/>
      <c r="AH55" s="10">
        <f t="shared" si="5"/>
        <v>2302028.9367674338</v>
      </c>
      <c r="AI55" s="9">
        <f t="shared" si="6"/>
        <v>414500</v>
      </c>
      <c r="AJ55" s="203">
        <f t="shared" si="7"/>
        <v>2716528.9367674338</v>
      </c>
    </row>
    <row r="56" spans="1:36" x14ac:dyDescent="0.3">
      <c r="A56" s="160">
        <f t="shared" si="3"/>
        <v>52</v>
      </c>
      <c r="B56" s="117" t="s">
        <v>147</v>
      </c>
      <c r="C56" s="8" t="s">
        <v>354</v>
      </c>
      <c r="D56" s="8" t="s">
        <v>329</v>
      </c>
      <c r="E56" s="11" t="s">
        <v>149</v>
      </c>
      <c r="F56" s="386">
        <f>VLOOKUP($E56,'2015 Appr staffing table'!$D:$K, F$1, FALSE)</f>
        <v>0</v>
      </c>
      <c r="G56" s="386">
        <f>VLOOKUP($E56,'2015 Appr staffing table'!$D:$K, G$1, FALSE)</f>
        <v>1</v>
      </c>
      <c r="H56" s="386">
        <f>VLOOKUP($E56,'2015 Appr staffing table'!$D:$K, H$1, FALSE)</f>
        <v>3</v>
      </c>
      <c r="I56" s="386">
        <f>VLOOKUP($E56,'2015 Appr staffing table'!$D:$K, I$1, FALSE)</f>
        <v>1</v>
      </c>
      <c r="J56" s="386">
        <f>VLOOKUP($E56,'2015 Appr staffing table'!$D:$K, J$1, FALSE)</f>
        <v>1</v>
      </c>
      <c r="K56" s="386">
        <f t="shared" si="4"/>
        <v>6</v>
      </c>
      <c r="L56" s="386">
        <f>VLOOKUP($E56,'2015 Appr staffing table'!$D:$K, L$1, FALSE)</f>
        <v>6</v>
      </c>
      <c r="M56" s="310">
        <f>VLOOKUP($E56,'2015 Appr staffing table'!$D:$S, 15, FALSE)</f>
        <v>1443897.0091823007</v>
      </c>
      <c r="N56" s="311">
        <f>VLOOKUP($E56,'2015 Appr staffing table'!$D:$S, 16, FALSE)</f>
        <v>345392.86604385328</v>
      </c>
      <c r="O56" s="123"/>
      <c r="P56" s="123"/>
      <c r="Q56" s="90">
        <v>3500</v>
      </c>
      <c r="R56" s="88">
        <v>12000</v>
      </c>
      <c r="S56" s="89">
        <v>35000</v>
      </c>
      <c r="T56" s="89"/>
      <c r="U56" s="89"/>
      <c r="V56" s="89">
        <v>50000</v>
      </c>
      <c r="W56" s="89">
        <v>12000</v>
      </c>
      <c r="X56" s="89">
        <v>14000</v>
      </c>
      <c r="Y56" s="89">
        <v>2300</v>
      </c>
      <c r="Z56" s="89">
        <v>1000</v>
      </c>
      <c r="AA56" s="89">
        <v>2000</v>
      </c>
      <c r="AB56" s="123">
        <v>15000</v>
      </c>
      <c r="AC56" s="181"/>
      <c r="AD56" s="184"/>
      <c r="AE56" s="184"/>
      <c r="AF56" s="184"/>
      <c r="AG56" s="420"/>
      <c r="AH56" s="10">
        <f t="shared" si="5"/>
        <v>1792789.875226154</v>
      </c>
      <c r="AI56" s="9">
        <f t="shared" si="6"/>
        <v>143300</v>
      </c>
      <c r="AJ56" s="202">
        <f t="shared" si="7"/>
        <v>1936089.875226154</v>
      </c>
    </row>
    <row r="57" spans="1:36" x14ac:dyDescent="0.3">
      <c r="A57" s="160">
        <f t="shared" si="3"/>
        <v>53</v>
      </c>
      <c r="B57" s="8" t="s">
        <v>150</v>
      </c>
      <c r="C57" s="8" t="s">
        <v>151</v>
      </c>
      <c r="D57" s="8" t="s">
        <v>328</v>
      </c>
      <c r="E57" s="11" t="s">
        <v>152</v>
      </c>
      <c r="F57" s="386">
        <f>VLOOKUP($E57,'2015 Appr staffing table'!$D:$K, F$1, FALSE)</f>
        <v>0</v>
      </c>
      <c r="G57" s="386">
        <f>VLOOKUP($E57,'2015 Appr staffing table'!$D:$K, G$1, FALSE)</f>
        <v>0</v>
      </c>
      <c r="H57" s="386">
        <f>VLOOKUP($E57,'2015 Appr staffing table'!$D:$K, H$1, FALSE)</f>
        <v>1</v>
      </c>
      <c r="I57" s="386">
        <f>VLOOKUP($E57,'2015 Appr staffing table'!$D:$K, I$1, FALSE)</f>
        <v>0</v>
      </c>
      <c r="J57" s="386">
        <f>VLOOKUP($E57,'2015 Appr staffing table'!$D:$K, J$1, FALSE)</f>
        <v>0</v>
      </c>
      <c r="K57" s="386">
        <f t="shared" si="4"/>
        <v>1</v>
      </c>
      <c r="L57" s="386">
        <f>VLOOKUP($E57,'2015 Appr staffing table'!$D:$K, L$1, FALSE)</f>
        <v>2</v>
      </c>
      <c r="M57" s="310">
        <f>VLOOKUP($E57,'2015 Appr staffing table'!$D:$S, 15, FALSE)</f>
        <v>186885.17078354169</v>
      </c>
      <c r="N57" s="311">
        <f>VLOOKUP($E57,'2015 Appr staffing table'!$D:$S, 16, FALSE)</f>
        <v>59161.45357975729</v>
      </c>
      <c r="O57" s="123"/>
      <c r="P57" s="123"/>
      <c r="Q57" s="90">
        <v>1000</v>
      </c>
      <c r="R57" s="88">
        <f>8000+8500</f>
        <v>16500</v>
      </c>
      <c r="S57" s="89">
        <v>8000</v>
      </c>
      <c r="T57" s="89"/>
      <c r="U57" s="89"/>
      <c r="V57" s="89">
        <v>4000</v>
      </c>
      <c r="W57" s="89">
        <v>2000</v>
      </c>
      <c r="X57" s="89">
        <v>1500</v>
      </c>
      <c r="Y57" s="89">
        <v>1000</v>
      </c>
      <c r="Z57" s="89">
        <v>1000</v>
      </c>
      <c r="AA57" s="89">
        <v>500</v>
      </c>
      <c r="AB57" s="123">
        <v>1000</v>
      </c>
      <c r="AC57" s="181"/>
      <c r="AD57" s="184"/>
      <c r="AE57" s="184"/>
      <c r="AF57" s="184"/>
      <c r="AG57" s="420"/>
      <c r="AH57" s="10">
        <f t="shared" si="5"/>
        <v>247046.62436329899</v>
      </c>
      <c r="AI57" s="9">
        <f t="shared" si="6"/>
        <v>35500</v>
      </c>
      <c r="AJ57" s="202">
        <f t="shared" si="7"/>
        <v>282546.62436329899</v>
      </c>
    </row>
    <row r="58" spans="1:36" x14ac:dyDescent="0.3">
      <c r="A58" s="160">
        <f t="shared" si="3"/>
        <v>54</v>
      </c>
      <c r="B58" s="8" t="s">
        <v>153</v>
      </c>
      <c r="C58" s="8" t="s">
        <v>154</v>
      </c>
      <c r="D58" s="8" t="s">
        <v>329</v>
      </c>
      <c r="E58" s="11" t="s">
        <v>155</v>
      </c>
      <c r="F58" s="386">
        <f>VLOOKUP($E58,'2015 Appr staffing table'!$D:$K, F$1, FALSE)</f>
        <v>0</v>
      </c>
      <c r="G58" s="386">
        <f>VLOOKUP($E58,'2015 Appr staffing table'!$D:$K, G$1, FALSE)</f>
        <v>1</v>
      </c>
      <c r="H58" s="386">
        <f>VLOOKUP($E58,'2015 Appr staffing table'!$D:$K, H$1, FALSE)</f>
        <v>2</v>
      </c>
      <c r="I58" s="386">
        <f>VLOOKUP($E58,'2015 Appr staffing table'!$D:$K, I$1, FALSE)</f>
        <v>2</v>
      </c>
      <c r="J58" s="386">
        <f>VLOOKUP($E58,'2015 Appr staffing table'!$D:$K, J$1, FALSE)</f>
        <v>0</v>
      </c>
      <c r="K58" s="386">
        <f t="shared" si="4"/>
        <v>5</v>
      </c>
      <c r="L58" s="386">
        <f>VLOOKUP($E58,'2015 Appr staffing table'!$D:$K, L$1, FALSE)</f>
        <v>6</v>
      </c>
      <c r="M58" s="310">
        <f>VLOOKUP($E58,'2015 Appr staffing table'!$D:$S, 15, FALSE)</f>
        <v>902753.11273238971</v>
      </c>
      <c r="N58" s="311">
        <f>VLOOKUP($E58,'2015 Appr staffing table'!$D:$S, 16, FALSE)</f>
        <v>222559.62629079877</v>
      </c>
      <c r="O58" s="123"/>
      <c r="P58" s="123"/>
      <c r="Q58" s="90">
        <v>2000</v>
      </c>
      <c r="R58" s="88">
        <v>4000</v>
      </c>
      <c r="S58" s="89">
        <v>51000</v>
      </c>
      <c r="T58" s="89"/>
      <c r="U58" s="89"/>
      <c r="V58" s="89">
        <v>15000</v>
      </c>
      <c r="W58" s="89">
        <v>2500</v>
      </c>
      <c r="X58" s="89">
        <v>10000</v>
      </c>
      <c r="Y58" s="89">
        <v>1200</v>
      </c>
      <c r="Z58" s="89">
        <v>1000</v>
      </c>
      <c r="AA58" s="89">
        <v>1500</v>
      </c>
      <c r="AB58" s="123">
        <v>500</v>
      </c>
      <c r="AC58" s="181"/>
      <c r="AD58" s="184"/>
      <c r="AE58" s="184"/>
      <c r="AF58" s="184"/>
      <c r="AG58" s="420"/>
      <c r="AH58" s="10">
        <f t="shared" si="5"/>
        <v>1127312.7390231886</v>
      </c>
      <c r="AI58" s="9">
        <f t="shared" si="6"/>
        <v>86700</v>
      </c>
      <c r="AJ58" s="202">
        <f t="shared" si="7"/>
        <v>1214012.7390231886</v>
      </c>
    </row>
    <row r="59" spans="1:36" x14ac:dyDescent="0.3">
      <c r="A59" s="160">
        <f t="shared" si="3"/>
        <v>55</v>
      </c>
      <c r="B59" s="8" t="s">
        <v>156</v>
      </c>
      <c r="C59" s="8" t="s">
        <v>157</v>
      </c>
      <c r="D59" s="8" t="s">
        <v>327</v>
      </c>
      <c r="E59" s="11" t="s">
        <v>158</v>
      </c>
      <c r="F59" s="386">
        <f>VLOOKUP($E59,'2015 Appr staffing table'!$D:$K, F$1, FALSE)</f>
        <v>0</v>
      </c>
      <c r="G59" s="386">
        <f>VLOOKUP($E59,'2015 Appr staffing table'!$D:$K, G$1, FALSE)</f>
        <v>0</v>
      </c>
      <c r="H59" s="386">
        <f>VLOOKUP($E59,'2015 Appr staffing table'!$D:$K, H$1, FALSE)</f>
        <v>1</v>
      </c>
      <c r="I59" s="386">
        <f>VLOOKUP($E59,'2015 Appr staffing table'!$D:$K, I$1, FALSE)</f>
        <v>0</v>
      </c>
      <c r="J59" s="386">
        <f>VLOOKUP($E59,'2015 Appr staffing table'!$D:$K, J$1, FALSE)</f>
        <v>0</v>
      </c>
      <c r="K59" s="386">
        <f t="shared" si="4"/>
        <v>1</v>
      </c>
      <c r="L59" s="386">
        <f>VLOOKUP($E59,'2015 Appr staffing table'!$D:$K, L$1, FALSE)</f>
        <v>2</v>
      </c>
      <c r="M59" s="310">
        <f>VLOOKUP($E59,'2015 Appr staffing table'!$D:$S, 15, FALSE)</f>
        <v>183269.59522641666</v>
      </c>
      <c r="N59" s="311">
        <f>VLOOKUP($E59,'2015 Appr staffing table'!$D:$S, 16, FALSE)</f>
        <v>68493.402446205422</v>
      </c>
      <c r="O59" s="123"/>
      <c r="P59" s="123"/>
      <c r="Q59" s="90">
        <v>1000</v>
      </c>
      <c r="R59" s="88">
        <v>18000</v>
      </c>
      <c r="S59" s="89">
        <v>17000</v>
      </c>
      <c r="T59" s="89">
        <v>0</v>
      </c>
      <c r="U59" s="89"/>
      <c r="V59" s="89">
        <v>2900</v>
      </c>
      <c r="W59" s="89">
        <v>500</v>
      </c>
      <c r="X59" s="89">
        <v>2000</v>
      </c>
      <c r="Y59" s="89">
        <v>1000</v>
      </c>
      <c r="Z59" s="89">
        <v>1000</v>
      </c>
      <c r="AA59" s="89">
        <v>1000</v>
      </c>
      <c r="AB59" s="123">
        <v>1000</v>
      </c>
      <c r="AC59" s="181"/>
      <c r="AD59" s="184"/>
      <c r="AE59" s="184"/>
      <c r="AF59" s="184"/>
      <c r="AG59" s="420"/>
      <c r="AH59" s="10">
        <f t="shared" si="5"/>
        <v>252762.99767262209</v>
      </c>
      <c r="AI59" s="9">
        <f t="shared" si="6"/>
        <v>44400</v>
      </c>
      <c r="AJ59" s="203">
        <f t="shared" si="7"/>
        <v>297162.99767262209</v>
      </c>
    </row>
    <row r="60" spans="1:36" x14ac:dyDescent="0.3">
      <c r="A60" s="160">
        <f t="shared" si="3"/>
        <v>56</v>
      </c>
      <c r="B60" s="8" t="s">
        <v>161</v>
      </c>
      <c r="C60" s="8" t="s">
        <v>162</v>
      </c>
      <c r="D60" s="117" t="s">
        <v>423</v>
      </c>
      <c r="E60" s="11" t="s">
        <v>163</v>
      </c>
      <c r="F60" s="386">
        <f>VLOOKUP($E60,'2015 Appr staffing table'!$D:$K, F$1, FALSE)</f>
        <v>0</v>
      </c>
      <c r="G60" s="386">
        <f>VLOOKUP($E60,'2015 Appr staffing table'!$D:$K, G$1, FALSE)</f>
        <v>0</v>
      </c>
      <c r="H60" s="386">
        <f>VLOOKUP($E60,'2015 Appr staffing table'!$D:$K, H$1, FALSE)</f>
        <v>6</v>
      </c>
      <c r="I60" s="386">
        <f>VLOOKUP($E60,'2015 Appr staffing table'!$D:$K, I$1, FALSE)</f>
        <v>3</v>
      </c>
      <c r="J60" s="386">
        <f>VLOOKUP($E60,'2015 Appr staffing table'!$D:$K, J$1, FALSE)</f>
        <v>0</v>
      </c>
      <c r="K60" s="386">
        <f t="shared" si="4"/>
        <v>9</v>
      </c>
      <c r="L60" s="386">
        <f>VLOOKUP($E60,'2015 Appr staffing table'!$D:$K, L$1, FALSE)</f>
        <v>6</v>
      </c>
      <c r="M60" s="310">
        <f>VLOOKUP($E60,'2015 Appr staffing table'!$D:$S, 15, FALSE)</f>
        <v>1635151.5381505631</v>
      </c>
      <c r="N60" s="311">
        <f>VLOOKUP($E60,'2015 Appr staffing table'!$D:$S, 16, FALSE)</f>
        <v>214914.29953121691</v>
      </c>
      <c r="O60" s="123"/>
      <c r="P60" s="123"/>
      <c r="Q60" s="90">
        <v>2500</v>
      </c>
      <c r="R60" s="88">
        <v>71500</v>
      </c>
      <c r="S60" s="89">
        <v>35000</v>
      </c>
      <c r="T60" s="89"/>
      <c r="U60" s="89"/>
      <c r="V60" s="89">
        <v>23000</v>
      </c>
      <c r="W60" s="89">
        <v>13000</v>
      </c>
      <c r="X60" s="89">
        <v>10000</v>
      </c>
      <c r="Y60" s="89">
        <v>2000</v>
      </c>
      <c r="Z60" s="89">
        <v>2000</v>
      </c>
      <c r="AA60" s="89">
        <v>2000</v>
      </c>
      <c r="AB60" s="123">
        <v>1500</v>
      </c>
      <c r="AC60" s="181"/>
      <c r="AD60" s="184"/>
      <c r="AE60" s="184"/>
      <c r="AF60" s="184"/>
      <c r="AG60" s="420"/>
      <c r="AH60" s="10">
        <f t="shared" si="5"/>
        <v>1852565.8376817801</v>
      </c>
      <c r="AI60" s="9">
        <f t="shared" si="6"/>
        <v>160000</v>
      </c>
      <c r="AJ60" s="203">
        <f t="shared" si="7"/>
        <v>2012565.8376817801</v>
      </c>
    </row>
    <row r="61" spans="1:36" x14ac:dyDescent="0.3">
      <c r="A61" s="160">
        <f t="shared" si="3"/>
        <v>57</v>
      </c>
      <c r="B61" s="8" t="s">
        <v>312</v>
      </c>
      <c r="C61" s="8" t="s">
        <v>159</v>
      </c>
      <c r="D61" s="117" t="s">
        <v>339</v>
      </c>
      <c r="E61" s="11" t="s">
        <v>160</v>
      </c>
      <c r="F61" s="386">
        <f>VLOOKUP($E61,'2015 Appr staffing table'!$D:$K, F$1, FALSE)</f>
        <v>0</v>
      </c>
      <c r="G61" s="386">
        <f>VLOOKUP($E61,'2015 Appr staffing table'!$D:$K, G$1, FALSE)</f>
        <v>0</v>
      </c>
      <c r="H61" s="386">
        <f>VLOOKUP($E61,'2015 Appr staffing table'!$D:$K, H$1, FALSE)</f>
        <v>1</v>
      </c>
      <c r="I61" s="386">
        <f>VLOOKUP($E61,'2015 Appr staffing table'!$D:$K, I$1, FALSE)</f>
        <v>0</v>
      </c>
      <c r="J61" s="386">
        <f>VLOOKUP($E61,'2015 Appr staffing table'!$D:$K, J$1, FALSE)</f>
        <v>0</v>
      </c>
      <c r="K61" s="386">
        <f t="shared" si="4"/>
        <v>1</v>
      </c>
      <c r="L61" s="386">
        <f>VLOOKUP($E61,'2015 Appr staffing table'!$D:$K, L$1, FALSE)</f>
        <v>2</v>
      </c>
      <c r="M61" s="310">
        <f>VLOOKUP($E61,'2015 Appr staffing table'!$D:$S, 15, FALSE)</f>
        <v>180228.94411216668</v>
      </c>
      <c r="N61" s="311">
        <f>VLOOKUP($E61,'2015 Appr staffing table'!$D:$S, 16, FALSE)</f>
        <v>74943.977661045879</v>
      </c>
      <c r="O61" s="123"/>
      <c r="P61" s="123"/>
      <c r="Q61" s="90">
        <v>1000</v>
      </c>
      <c r="R61" s="88">
        <v>500</v>
      </c>
      <c r="S61" s="89">
        <f>17000-600</f>
        <v>16400</v>
      </c>
      <c r="T61" s="89"/>
      <c r="U61" s="89"/>
      <c r="V61" s="89">
        <v>3000</v>
      </c>
      <c r="W61" s="89">
        <v>1500</v>
      </c>
      <c r="X61" s="89">
        <v>1500</v>
      </c>
      <c r="Y61" s="89">
        <v>1200</v>
      </c>
      <c r="Z61" s="89">
        <v>1000</v>
      </c>
      <c r="AA61" s="89">
        <v>700</v>
      </c>
      <c r="AB61" s="123">
        <v>800</v>
      </c>
      <c r="AC61" s="181"/>
      <c r="AD61" s="184"/>
      <c r="AE61" s="184"/>
      <c r="AF61" s="184"/>
      <c r="AG61" s="420"/>
      <c r="AH61" s="10">
        <f t="shared" si="5"/>
        <v>256172.92177321255</v>
      </c>
      <c r="AI61" s="9">
        <f t="shared" si="6"/>
        <v>26600</v>
      </c>
      <c r="AJ61" s="202">
        <f t="shared" si="7"/>
        <v>282772.92177321255</v>
      </c>
    </row>
    <row r="62" spans="1:36" x14ac:dyDescent="0.3">
      <c r="A62" s="160">
        <f t="shared" si="3"/>
        <v>58</v>
      </c>
      <c r="B62" s="117" t="s">
        <v>403</v>
      </c>
      <c r="C62" s="8" t="s">
        <v>164</v>
      </c>
      <c r="D62" s="8" t="s">
        <v>329</v>
      </c>
      <c r="E62" s="11" t="s">
        <v>165</v>
      </c>
      <c r="F62" s="386">
        <f>VLOOKUP($E62,'2015 Appr staffing table'!$D:$K, F$1, FALSE)</f>
        <v>0</v>
      </c>
      <c r="G62" s="386">
        <f>VLOOKUP($E62,'2015 Appr staffing table'!$D:$K, G$1, FALSE)</f>
        <v>0</v>
      </c>
      <c r="H62" s="386">
        <f>VLOOKUP($E62,'2015 Appr staffing table'!$D:$K, H$1, FALSE)</f>
        <v>1</v>
      </c>
      <c r="I62" s="386">
        <f>VLOOKUP($E62,'2015 Appr staffing table'!$D:$K, I$1, FALSE)</f>
        <v>0</v>
      </c>
      <c r="J62" s="386">
        <f>VLOOKUP($E62,'2015 Appr staffing table'!$D:$K, J$1, FALSE)</f>
        <v>0</v>
      </c>
      <c r="K62" s="386">
        <f t="shared" si="4"/>
        <v>1</v>
      </c>
      <c r="L62" s="386">
        <f>VLOOKUP($E62,'2015 Appr staffing table'!$D:$K, L$1, FALSE)</f>
        <v>2</v>
      </c>
      <c r="M62" s="310">
        <f>VLOOKUP($E62,'2015 Appr staffing table'!$D:$S, 15, FALSE)</f>
        <v>196526.70560254165</v>
      </c>
      <c r="N62" s="311">
        <f>VLOOKUP($E62,'2015 Appr staffing table'!$D:$S, 16, FALSE)</f>
        <v>146201.77853449254</v>
      </c>
      <c r="O62" s="123"/>
      <c r="P62" s="123"/>
      <c r="Q62" s="90">
        <v>1000</v>
      </c>
      <c r="R62" s="88">
        <v>2000</v>
      </c>
      <c r="S62" s="89">
        <v>10000</v>
      </c>
      <c r="T62" s="89"/>
      <c r="U62" s="89"/>
      <c r="V62" s="89">
        <v>5500</v>
      </c>
      <c r="W62" s="89">
        <v>1000</v>
      </c>
      <c r="X62" s="89">
        <v>500</v>
      </c>
      <c r="Y62" s="89">
        <v>1000</v>
      </c>
      <c r="Z62" s="89">
        <v>1000</v>
      </c>
      <c r="AA62" s="89">
        <v>500</v>
      </c>
      <c r="AB62" s="123">
        <v>500</v>
      </c>
      <c r="AC62" s="181"/>
      <c r="AD62" s="184"/>
      <c r="AE62" s="184"/>
      <c r="AF62" s="184"/>
      <c r="AG62" s="420"/>
      <c r="AH62" s="10">
        <f t="shared" si="5"/>
        <v>343728.48413703416</v>
      </c>
      <c r="AI62" s="9">
        <f t="shared" si="6"/>
        <v>22000</v>
      </c>
      <c r="AJ62" s="202">
        <f t="shared" si="7"/>
        <v>365728.48413703416</v>
      </c>
    </row>
    <row r="63" spans="1:36" x14ac:dyDescent="0.3">
      <c r="A63" s="160">
        <f t="shared" si="3"/>
        <v>59</v>
      </c>
      <c r="B63" s="117" t="s">
        <v>415</v>
      </c>
      <c r="C63" s="8" t="s">
        <v>166</v>
      </c>
      <c r="D63" s="8" t="s">
        <v>327</v>
      </c>
      <c r="E63" s="11" t="s">
        <v>167</v>
      </c>
      <c r="F63" s="386">
        <f>VLOOKUP($E63,'2015 Appr staffing table'!$D:$K, F$1, FALSE)</f>
        <v>0</v>
      </c>
      <c r="G63" s="386">
        <f>VLOOKUP($E63,'2015 Appr staffing table'!$D:$K, G$1, FALSE)</f>
        <v>0</v>
      </c>
      <c r="H63" s="386">
        <f>VLOOKUP($E63,'2015 Appr staffing table'!$D:$K, H$1, FALSE)</f>
        <v>1</v>
      </c>
      <c r="I63" s="386">
        <f>VLOOKUP($E63,'2015 Appr staffing table'!$D:$K, I$1, FALSE)</f>
        <v>1</v>
      </c>
      <c r="J63" s="386">
        <f>VLOOKUP($E63,'2015 Appr staffing table'!$D:$K, J$1, FALSE)</f>
        <v>0</v>
      </c>
      <c r="K63" s="386">
        <f t="shared" si="4"/>
        <v>2</v>
      </c>
      <c r="L63" s="386">
        <f>VLOOKUP($E63,'2015 Appr staffing table'!$D:$K, L$1, FALSE)</f>
        <v>4</v>
      </c>
      <c r="M63" s="310">
        <f>VLOOKUP($E63,'2015 Appr staffing table'!$D:$S, 15, FALSE)</f>
        <v>349271.8160423903</v>
      </c>
      <c r="N63" s="311">
        <f>VLOOKUP($E63,'2015 Appr staffing table'!$D:$S, 16, FALSE)</f>
        <v>88599.129046256872</v>
      </c>
      <c r="O63" s="123"/>
      <c r="P63" s="123"/>
      <c r="Q63" s="90">
        <v>1500</v>
      </c>
      <c r="R63" s="88">
        <v>9000</v>
      </c>
      <c r="S63" s="89">
        <v>12000</v>
      </c>
      <c r="T63" s="89"/>
      <c r="U63" s="89"/>
      <c r="V63" s="89">
        <f>8000-1000</f>
        <v>7000</v>
      </c>
      <c r="W63" s="89">
        <v>1800</v>
      </c>
      <c r="X63" s="89">
        <v>3000</v>
      </c>
      <c r="Y63" s="89">
        <v>1500</v>
      </c>
      <c r="Z63" s="89">
        <v>1000</v>
      </c>
      <c r="AA63" s="129">
        <v>2000</v>
      </c>
      <c r="AB63" s="123">
        <v>1900</v>
      </c>
      <c r="AC63" s="181"/>
      <c r="AD63" s="184"/>
      <c r="AE63" s="184"/>
      <c r="AF63" s="184"/>
      <c r="AG63" s="420"/>
      <c r="AH63" s="10">
        <f t="shared" si="5"/>
        <v>439370.94508864719</v>
      </c>
      <c r="AI63" s="9">
        <f t="shared" si="6"/>
        <v>39200</v>
      </c>
      <c r="AJ63" s="202">
        <f t="shared" si="7"/>
        <v>478570.94508864719</v>
      </c>
    </row>
    <row r="64" spans="1:36" x14ac:dyDescent="0.3">
      <c r="A64" s="160">
        <f t="shared" si="3"/>
        <v>60</v>
      </c>
      <c r="B64" s="8" t="s">
        <v>168</v>
      </c>
      <c r="C64" s="8" t="s">
        <v>169</v>
      </c>
      <c r="D64" s="8" t="s">
        <v>327</v>
      </c>
      <c r="E64" s="11" t="s">
        <v>170</v>
      </c>
      <c r="F64" s="386">
        <f>VLOOKUP($E64,'2015 Appr staffing table'!$D:$K, F$1, FALSE)</f>
        <v>0</v>
      </c>
      <c r="G64" s="386">
        <f>VLOOKUP($E64,'2015 Appr staffing table'!$D:$K, G$1, FALSE)</f>
        <v>0</v>
      </c>
      <c r="H64" s="386">
        <f>VLOOKUP($E64,'2015 Appr staffing table'!$D:$K, H$1, FALSE)</f>
        <v>0</v>
      </c>
      <c r="I64" s="386">
        <f>VLOOKUP($E64,'2015 Appr staffing table'!$D:$K, I$1, FALSE)</f>
        <v>0</v>
      </c>
      <c r="J64" s="386">
        <f>VLOOKUP($E64,'2015 Appr staffing table'!$D:$K, J$1, FALSE)</f>
        <v>0</v>
      </c>
      <c r="K64" s="386">
        <f t="shared" si="4"/>
        <v>0</v>
      </c>
      <c r="L64" s="386">
        <f>VLOOKUP($E64,'2015 Appr staffing table'!$D:$K, L$1, FALSE)</f>
        <v>2</v>
      </c>
      <c r="M64" s="310">
        <f>VLOOKUP($E64,'2015 Appr staffing table'!$D:$S, 15, FALSE)</f>
        <v>0</v>
      </c>
      <c r="N64" s="311">
        <f>VLOOKUP($E64,'2015 Appr staffing table'!$D:$S, 16, FALSE)</f>
        <v>29286.594253637471</v>
      </c>
      <c r="O64" s="123"/>
      <c r="P64" s="123"/>
      <c r="Q64" s="90">
        <v>1000</v>
      </c>
      <c r="R64" s="88">
        <v>5000</v>
      </c>
      <c r="S64" s="129">
        <v>3500</v>
      </c>
      <c r="T64" s="89"/>
      <c r="U64" s="89"/>
      <c r="V64" s="89">
        <v>5000</v>
      </c>
      <c r="W64" s="89">
        <v>1000</v>
      </c>
      <c r="X64" s="89">
        <f>1000+200</f>
        <v>1200</v>
      </c>
      <c r="Y64" s="89">
        <v>700</v>
      </c>
      <c r="Z64" s="89">
        <v>500</v>
      </c>
      <c r="AA64" s="89">
        <v>500</v>
      </c>
      <c r="AB64" s="123">
        <v>500</v>
      </c>
      <c r="AC64" s="181"/>
      <c r="AD64" s="184"/>
      <c r="AE64" s="184"/>
      <c r="AF64" s="184"/>
      <c r="AG64" s="420"/>
      <c r="AH64" s="10">
        <f t="shared" si="5"/>
        <v>30286.594253637471</v>
      </c>
      <c r="AI64" s="9">
        <f t="shared" si="6"/>
        <v>17900</v>
      </c>
      <c r="AJ64" s="202">
        <f t="shared" si="7"/>
        <v>48186.594253637471</v>
      </c>
    </row>
    <row r="65" spans="1:36" x14ac:dyDescent="0.3">
      <c r="A65" s="160">
        <f t="shared" si="3"/>
        <v>61</v>
      </c>
      <c r="B65" s="117" t="s">
        <v>404</v>
      </c>
      <c r="C65" s="8" t="s">
        <v>171</v>
      </c>
      <c r="D65" s="8" t="s">
        <v>329</v>
      </c>
      <c r="E65" s="11" t="s">
        <v>172</v>
      </c>
      <c r="F65" s="386">
        <f>VLOOKUP($E65,'2015 Appr staffing table'!$D:$K, F$1, FALSE)</f>
        <v>0</v>
      </c>
      <c r="G65" s="386">
        <f>VLOOKUP($E65,'2015 Appr staffing table'!$D:$K, G$1, FALSE)</f>
        <v>1</v>
      </c>
      <c r="H65" s="386">
        <f>VLOOKUP($E65,'2015 Appr staffing table'!$D:$K, H$1, FALSE)</f>
        <v>1</v>
      </c>
      <c r="I65" s="386">
        <f>VLOOKUP($E65,'2015 Appr staffing table'!$D:$K, I$1, FALSE)</f>
        <v>3</v>
      </c>
      <c r="J65" s="386">
        <f>VLOOKUP($E65,'2015 Appr staffing table'!$D:$K, J$1, FALSE)</f>
        <v>0</v>
      </c>
      <c r="K65" s="386">
        <f t="shared" si="4"/>
        <v>5</v>
      </c>
      <c r="L65" s="386">
        <f>VLOOKUP($E65,'2015 Appr staffing table'!$D:$K, L$1, FALSE)</f>
        <v>5</v>
      </c>
      <c r="M65" s="310">
        <f>VLOOKUP($E65,'2015 Appr staffing table'!$D:$S, 15, FALSE)</f>
        <v>898482.49779795716</v>
      </c>
      <c r="N65" s="311">
        <f>VLOOKUP($E65,'2015 Appr staffing table'!$D:$S, 16, FALSE)</f>
        <v>343436.41243467742</v>
      </c>
      <c r="O65" s="123"/>
      <c r="P65" s="123"/>
      <c r="Q65" s="90">
        <v>2000</v>
      </c>
      <c r="R65" s="88">
        <f>5000-2000</f>
        <v>3000</v>
      </c>
      <c r="S65" s="89">
        <v>50000</v>
      </c>
      <c r="T65" s="89"/>
      <c r="U65" s="89"/>
      <c r="V65" s="89">
        <f>20000+5600</f>
        <v>25600</v>
      </c>
      <c r="W65" s="89">
        <v>6000</v>
      </c>
      <c r="X65" s="89">
        <f>12000+4200</f>
        <v>16200</v>
      </c>
      <c r="Y65" s="89">
        <v>1000</v>
      </c>
      <c r="Z65" s="89">
        <v>1000</v>
      </c>
      <c r="AA65" s="89">
        <v>1000</v>
      </c>
      <c r="AB65" s="123">
        <v>3500</v>
      </c>
      <c r="AC65" s="181"/>
      <c r="AD65" s="184"/>
      <c r="AE65" s="184"/>
      <c r="AF65" s="184"/>
      <c r="AG65" s="420"/>
      <c r="AH65" s="10">
        <f t="shared" si="5"/>
        <v>1243918.9102326345</v>
      </c>
      <c r="AI65" s="9">
        <f t="shared" si="6"/>
        <v>107300</v>
      </c>
      <c r="AJ65" s="202">
        <f t="shared" si="7"/>
        <v>1351218.9102326345</v>
      </c>
    </row>
    <row r="66" spans="1:36" x14ac:dyDescent="0.3">
      <c r="A66" s="160">
        <f t="shared" si="3"/>
        <v>62</v>
      </c>
      <c r="B66" s="117" t="s">
        <v>375</v>
      </c>
      <c r="C66" s="8" t="s">
        <v>173</v>
      </c>
      <c r="D66" s="117" t="s">
        <v>423</v>
      </c>
      <c r="E66" s="11" t="s">
        <v>174</v>
      </c>
      <c r="F66" s="386">
        <f>VLOOKUP($E66,'2015 Appr staffing table'!$D:$K, F$1, FALSE)</f>
        <v>0</v>
      </c>
      <c r="G66" s="386">
        <f>VLOOKUP($E66,'2015 Appr staffing table'!$D:$K, G$1, FALSE)</f>
        <v>0</v>
      </c>
      <c r="H66" s="386">
        <f>VLOOKUP($E66,'2015 Appr staffing table'!$D:$K, H$1, FALSE)</f>
        <v>0</v>
      </c>
      <c r="I66" s="386">
        <f>VLOOKUP($E66,'2015 Appr staffing table'!$D:$K, I$1, FALSE)</f>
        <v>0</v>
      </c>
      <c r="J66" s="386">
        <f>VLOOKUP($E66,'2015 Appr staffing table'!$D:$K, J$1, FALSE)</f>
        <v>0</v>
      </c>
      <c r="K66" s="386">
        <f t="shared" si="4"/>
        <v>0</v>
      </c>
      <c r="L66" s="386">
        <f>VLOOKUP($E66,'2015 Appr staffing table'!$D:$K, L$1, FALSE)</f>
        <v>1</v>
      </c>
      <c r="M66" s="310">
        <f>VLOOKUP($E66,'2015 Appr staffing table'!$D:$S, 15, FALSE)</f>
        <v>0</v>
      </c>
      <c r="N66" s="311">
        <f>VLOOKUP($E66,'2015 Appr staffing table'!$D:$S, 16, FALSE)</f>
        <v>21720.915913317174</v>
      </c>
      <c r="O66" s="123"/>
      <c r="P66" s="123"/>
      <c r="Q66" s="90">
        <v>1000</v>
      </c>
      <c r="R66" s="88">
        <v>3000</v>
      </c>
      <c r="S66" s="89">
        <v>2200</v>
      </c>
      <c r="T66" s="89"/>
      <c r="U66" s="89"/>
      <c r="V66" s="89">
        <v>1800</v>
      </c>
      <c r="W66" s="89">
        <v>500</v>
      </c>
      <c r="X66" s="89">
        <v>1000</v>
      </c>
      <c r="Y66" s="89">
        <v>500</v>
      </c>
      <c r="Z66" s="89">
        <v>0</v>
      </c>
      <c r="AA66" s="89">
        <v>0</v>
      </c>
      <c r="AB66" s="123">
        <f>1300-800</f>
        <v>500</v>
      </c>
      <c r="AC66" s="181"/>
      <c r="AD66" s="184"/>
      <c r="AE66" s="184"/>
      <c r="AF66" s="184"/>
      <c r="AG66" s="420"/>
      <c r="AH66" s="10">
        <f t="shared" si="5"/>
        <v>22720.915913317174</v>
      </c>
      <c r="AI66" s="9">
        <f t="shared" si="6"/>
        <v>9500</v>
      </c>
      <c r="AJ66" s="202">
        <f t="shared" si="7"/>
        <v>32220.915913317174</v>
      </c>
    </row>
    <row r="67" spans="1:36" x14ac:dyDescent="0.3">
      <c r="A67" s="160">
        <f t="shared" si="3"/>
        <v>63</v>
      </c>
      <c r="B67" s="117" t="s">
        <v>376</v>
      </c>
      <c r="C67" s="8" t="s">
        <v>175</v>
      </c>
      <c r="D67" s="117" t="s">
        <v>339</v>
      </c>
      <c r="E67" s="11" t="s">
        <v>176</v>
      </c>
      <c r="F67" s="386">
        <f>VLOOKUP($E67,'2015 Appr staffing table'!$D:$K, F$1, FALSE)</f>
        <v>0</v>
      </c>
      <c r="G67" s="386">
        <f>VLOOKUP($E67,'2015 Appr staffing table'!$D:$K, G$1, FALSE)</f>
        <v>1</v>
      </c>
      <c r="H67" s="386">
        <f>VLOOKUP($E67,'2015 Appr staffing table'!$D:$K, H$1, FALSE)</f>
        <v>1</v>
      </c>
      <c r="I67" s="386">
        <f>VLOOKUP($E67,'2015 Appr staffing table'!$D:$K, I$1, FALSE)</f>
        <v>1</v>
      </c>
      <c r="J67" s="386">
        <f>VLOOKUP($E67,'2015 Appr staffing table'!$D:$K, J$1, FALSE)</f>
        <v>0</v>
      </c>
      <c r="K67" s="386">
        <f t="shared" si="4"/>
        <v>3</v>
      </c>
      <c r="L67" s="386">
        <f>VLOOKUP($E67,'2015 Appr staffing table'!$D:$K, L$1, FALSE)</f>
        <v>4</v>
      </c>
      <c r="M67" s="310">
        <f>VLOOKUP($E67,'2015 Appr staffing table'!$D:$S, 15, FALSE)</f>
        <v>657215.40526991279</v>
      </c>
      <c r="N67" s="311">
        <f>VLOOKUP($E67,'2015 Appr staffing table'!$D:$S, 16, FALSE)</f>
        <v>112374.73423292725</v>
      </c>
      <c r="O67" s="123"/>
      <c r="P67" s="123"/>
      <c r="Q67" s="90">
        <v>2000</v>
      </c>
      <c r="R67" s="88">
        <v>15000</v>
      </c>
      <c r="S67" s="89"/>
      <c r="T67" s="89"/>
      <c r="U67" s="89"/>
      <c r="V67" s="89">
        <v>4300</v>
      </c>
      <c r="W67" s="89">
        <v>4000</v>
      </c>
      <c r="X67" s="89">
        <v>3000</v>
      </c>
      <c r="Y67" s="89">
        <v>2000</v>
      </c>
      <c r="Z67" s="89">
        <v>1000</v>
      </c>
      <c r="AA67" s="89">
        <v>1000</v>
      </c>
      <c r="AB67" s="123">
        <v>1000</v>
      </c>
      <c r="AC67" s="181"/>
      <c r="AD67" s="184"/>
      <c r="AE67" s="184"/>
      <c r="AF67" s="184"/>
      <c r="AG67" s="420"/>
      <c r="AH67" s="10">
        <f t="shared" si="5"/>
        <v>771590.13950284</v>
      </c>
      <c r="AI67" s="9">
        <f t="shared" si="6"/>
        <v>31300</v>
      </c>
      <c r="AJ67" s="202">
        <f t="shared" si="7"/>
        <v>802890.13950284</v>
      </c>
    </row>
    <row r="68" spans="1:36" x14ac:dyDescent="0.3">
      <c r="A68" s="160">
        <f t="shared" si="3"/>
        <v>64</v>
      </c>
      <c r="B68" s="8" t="s">
        <v>334</v>
      </c>
      <c r="C68" s="209" t="s">
        <v>177</v>
      </c>
      <c r="D68" s="8" t="s">
        <v>329</v>
      </c>
      <c r="E68" s="161" t="s">
        <v>335</v>
      </c>
      <c r="F68" s="312">
        <f>VLOOKUP($E68,'2015 Appr staffing table'!$D:$K, F$1, FALSE)</f>
        <v>0</v>
      </c>
      <c r="G68" s="312">
        <f>VLOOKUP($E68,'2015 Appr staffing table'!$D:$K, G$1, FALSE)</f>
        <v>1</v>
      </c>
      <c r="H68" s="312">
        <f>VLOOKUP($E68,'2015 Appr staffing table'!$D:$K, H$1, FALSE)</f>
        <v>1</v>
      </c>
      <c r="I68" s="312">
        <f>VLOOKUP($E68,'2015 Appr staffing table'!$D:$K, I$1, FALSE)</f>
        <v>0</v>
      </c>
      <c r="J68" s="312">
        <f>VLOOKUP($E68,'2015 Appr staffing table'!$D:$K, J$1, FALSE)</f>
        <v>0</v>
      </c>
      <c r="K68" s="312">
        <f t="shared" si="4"/>
        <v>2</v>
      </c>
      <c r="L68" s="312">
        <f>VLOOKUP($E68,'2015 Appr staffing table'!$D:$K, L$1, FALSE)</f>
        <v>2</v>
      </c>
      <c r="M68" s="310">
        <f>VLOOKUP($E68,'2015 Appr staffing table'!$D:$S, 15, FALSE)</f>
        <v>505022.03111702437</v>
      </c>
      <c r="N68" s="311">
        <f>VLOOKUP($E68,'2015 Appr staffing table'!$D:$S, 16, FALSE)</f>
        <v>96140.229638671561</v>
      </c>
      <c r="O68" s="123"/>
      <c r="P68" s="123"/>
      <c r="Q68" s="90">
        <v>1000</v>
      </c>
      <c r="R68" s="88">
        <v>5000</v>
      </c>
      <c r="S68" s="89"/>
      <c r="T68" s="89"/>
      <c r="U68" s="89"/>
      <c r="V68" s="89">
        <v>6000</v>
      </c>
      <c r="W68" s="89">
        <v>2000</v>
      </c>
      <c r="X68" s="89">
        <v>3000</v>
      </c>
      <c r="Y68" s="89">
        <v>700</v>
      </c>
      <c r="Z68" s="89">
        <v>1000</v>
      </c>
      <c r="AA68" s="89">
        <v>1000</v>
      </c>
      <c r="AB68" s="123">
        <v>500</v>
      </c>
      <c r="AC68" s="181"/>
      <c r="AD68" s="184"/>
      <c r="AE68" s="184"/>
      <c r="AF68" s="184"/>
      <c r="AG68" s="420"/>
      <c r="AH68" s="10">
        <f t="shared" si="5"/>
        <v>602162.26075569587</v>
      </c>
      <c r="AI68" s="9">
        <f t="shared" si="6"/>
        <v>19200</v>
      </c>
      <c r="AJ68" s="203">
        <f t="shared" si="7"/>
        <v>621362.26075569587</v>
      </c>
    </row>
    <row r="69" spans="1:36" x14ac:dyDescent="0.3">
      <c r="A69" s="160">
        <f t="shared" si="3"/>
        <v>65</v>
      </c>
      <c r="B69" s="117" t="s">
        <v>416</v>
      </c>
      <c r="C69" s="8" t="s">
        <v>524</v>
      </c>
      <c r="D69" s="8" t="s">
        <v>328</v>
      </c>
      <c r="E69" s="11" t="s">
        <v>179</v>
      </c>
      <c r="F69" s="386">
        <f>VLOOKUP($E69,'2015 Appr staffing table'!$D:$K, F$1, FALSE)</f>
        <v>0</v>
      </c>
      <c r="G69" s="386">
        <f>VLOOKUP($E69,'2015 Appr staffing table'!$D:$K, G$1, FALSE)</f>
        <v>0</v>
      </c>
      <c r="H69" s="386">
        <f>VLOOKUP($E69,'2015 Appr staffing table'!$D:$K, H$1, FALSE)</f>
        <v>1</v>
      </c>
      <c r="I69" s="386">
        <f>VLOOKUP($E69,'2015 Appr staffing table'!$D:$K, I$1, FALSE)</f>
        <v>0</v>
      </c>
      <c r="J69" s="386">
        <f>VLOOKUP($E69,'2015 Appr staffing table'!$D:$K, J$1, FALSE)</f>
        <v>0</v>
      </c>
      <c r="K69" s="386">
        <f t="shared" si="4"/>
        <v>1</v>
      </c>
      <c r="L69" s="386">
        <f>VLOOKUP($E69,'2015 Appr staffing table'!$D:$K, L$1, FALSE)</f>
        <v>2</v>
      </c>
      <c r="M69" s="310">
        <f>VLOOKUP($E69,'2015 Appr staffing table'!$D:$S, 15, FALSE)</f>
        <v>173580.43169342499</v>
      </c>
      <c r="N69" s="311">
        <f>VLOOKUP($E69,'2015 Appr staffing table'!$D:$S, 16, FALSE)</f>
        <v>92331.735098331323</v>
      </c>
      <c r="O69" s="123"/>
      <c r="P69" s="123"/>
      <c r="Q69" s="90">
        <v>1000</v>
      </c>
      <c r="R69" s="88">
        <v>10000</v>
      </c>
      <c r="S69" s="89">
        <f>20000+2000</f>
        <v>22000</v>
      </c>
      <c r="T69" s="89"/>
      <c r="U69" s="89"/>
      <c r="V69" s="89">
        <f>5500+1200</f>
        <v>6700</v>
      </c>
      <c r="W69" s="89">
        <v>1000</v>
      </c>
      <c r="X69" s="89">
        <v>3000</v>
      </c>
      <c r="Y69" s="89">
        <v>1100</v>
      </c>
      <c r="Z69" s="89">
        <v>1000</v>
      </c>
      <c r="AA69" s="89">
        <v>500</v>
      </c>
      <c r="AB69" s="123">
        <v>1500</v>
      </c>
      <c r="AC69" s="181"/>
      <c r="AD69" s="184"/>
      <c r="AE69" s="184"/>
      <c r="AF69" s="184"/>
      <c r="AG69" s="420"/>
      <c r="AH69" s="10">
        <f t="shared" ref="AH69:AH100" si="8">SUM(M69:Q69)</f>
        <v>266912.16679175629</v>
      </c>
      <c r="AI69" s="9">
        <f t="shared" ref="AI69:AI100" si="9">SUM(R69:AG69)</f>
        <v>46800</v>
      </c>
      <c r="AJ69" s="202">
        <f t="shared" ref="AJ69:AJ100" si="10">SUM(AH69:AI69)</f>
        <v>313712.16679175629</v>
      </c>
    </row>
    <row r="70" spans="1:36" x14ac:dyDescent="0.3">
      <c r="A70" s="160">
        <f t="shared" ref="A70:A104" si="11">A69+1</f>
        <v>66</v>
      </c>
      <c r="B70" s="117" t="s">
        <v>377</v>
      </c>
      <c r="C70" s="8" t="s">
        <v>180</v>
      </c>
      <c r="D70" s="117" t="s">
        <v>423</v>
      </c>
      <c r="E70" s="11" t="s">
        <v>181</v>
      </c>
      <c r="F70" s="386">
        <f>VLOOKUP($E70,'2015 Appr staffing table'!$D:$K, F$1, FALSE)</f>
        <v>0</v>
      </c>
      <c r="G70" s="386">
        <f>VLOOKUP($E70,'2015 Appr staffing table'!$D:$K, G$1, FALSE)</f>
        <v>0</v>
      </c>
      <c r="H70" s="386">
        <f>VLOOKUP($E70,'2015 Appr staffing table'!$D:$K, H$1, FALSE)</f>
        <v>1</v>
      </c>
      <c r="I70" s="386">
        <f>VLOOKUP($E70,'2015 Appr staffing table'!$D:$K, I$1, FALSE)</f>
        <v>1</v>
      </c>
      <c r="J70" s="386">
        <f>VLOOKUP($E70,'2015 Appr staffing table'!$D:$K, J$1, FALSE)</f>
        <v>0</v>
      </c>
      <c r="K70" s="386">
        <f t="shared" ref="K70:K124" si="12">SUM(F70:J70)</f>
        <v>2</v>
      </c>
      <c r="L70" s="386">
        <f>VLOOKUP($E70,'2015 Appr staffing table'!$D:$K, L$1, FALSE)</f>
        <v>2</v>
      </c>
      <c r="M70" s="310">
        <f>VLOOKUP($E70,'2015 Appr staffing table'!$D:$S, 15, FALSE)</f>
        <v>343045.83174688648</v>
      </c>
      <c r="N70" s="311">
        <f>VLOOKUP($E70,'2015 Appr staffing table'!$D:$S, 16, FALSE)</f>
        <v>28650.258889823199</v>
      </c>
      <c r="O70" s="123"/>
      <c r="P70" s="123"/>
      <c r="Q70" s="90">
        <v>1000</v>
      </c>
      <c r="R70" s="88">
        <f>14000+4000</f>
        <v>18000</v>
      </c>
      <c r="S70" s="89">
        <v>12000</v>
      </c>
      <c r="T70" s="89"/>
      <c r="U70" s="89"/>
      <c r="V70" s="89">
        <v>5300</v>
      </c>
      <c r="W70" s="89">
        <v>1000</v>
      </c>
      <c r="X70" s="89">
        <v>3000</v>
      </c>
      <c r="Y70" s="89">
        <v>700</v>
      </c>
      <c r="Z70" s="89">
        <v>1000</v>
      </c>
      <c r="AA70" s="89">
        <v>1000</v>
      </c>
      <c r="AB70" s="123">
        <v>600</v>
      </c>
      <c r="AC70" s="181"/>
      <c r="AD70" s="184"/>
      <c r="AE70" s="184"/>
      <c r="AF70" s="184"/>
      <c r="AG70" s="420"/>
      <c r="AH70" s="10">
        <f t="shared" si="8"/>
        <v>372696.0906367097</v>
      </c>
      <c r="AI70" s="9">
        <f t="shared" si="9"/>
        <v>42600</v>
      </c>
      <c r="AJ70" s="202">
        <f t="shared" si="10"/>
        <v>415296.0906367097</v>
      </c>
    </row>
    <row r="71" spans="1:36" x14ac:dyDescent="0.3">
      <c r="A71" s="160">
        <f t="shared" si="11"/>
        <v>67</v>
      </c>
      <c r="B71" s="117" t="s">
        <v>378</v>
      </c>
      <c r="C71" s="8" t="s">
        <v>182</v>
      </c>
      <c r="D71" s="117" t="s">
        <v>423</v>
      </c>
      <c r="E71" s="11" t="s">
        <v>183</v>
      </c>
      <c r="F71" s="386">
        <f>VLOOKUP($E71,'2015 Appr staffing table'!$D:$K, F$1, FALSE)</f>
        <v>0</v>
      </c>
      <c r="G71" s="386">
        <f>VLOOKUP($E71,'2015 Appr staffing table'!$D:$K, G$1, FALSE)</f>
        <v>0</v>
      </c>
      <c r="H71" s="386">
        <f>VLOOKUP($E71,'2015 Appr staffing table'!$D:$K, H$1, FALSE)</f>
        <v>1</v>
      </c>
      <c r="I71" s="386">
        <f>VLOOKUP($E71,'2015 Appr staffing table'!$D:$K, I$1, FALSE)</f>
        <v>0</v>
      </c>
      <c r="J71" s="386">
        <f>VLOOKUP($E71,'2015 Appr staffing table'!$D:$K, J$1, FALSE)</f>
        <v>0</v>
      </c>
      <c r="K71" s="386">
        <f t="shared" si="12"/>
        <v>1</v>
      </c>
      <c r="L71" s="386">
        <f>VLOOKUP($E71,'2015 Appr staffing table'!$D:$K, L$1, FALSE)</f>
        <v>2</v>
      </c>
      <c r="M71" s="310">
        <f>VLOOKUP($E71,'2015 Appr staffing table'!$D:$S, 15, FALSE)</f>
        <v>182157.41595471665</v>
      </c>
      <c r="N71" s="311">
        <f>VLOOKUP($E71,'2015 Appr staffing table'!$D:$S, 16, FALSE)</f>
        <v>34103.302708184725</v>
      </c>
      <c r="O71" s="123"/>
      <c r="P71" s="123"/>
      <c r="Q71" s="90">
        <v>1000</v>
      </c>
      <c r="R71" s="88">
        <v>4000</v>
      </c>
      <c r="S71" s="89">
        <v>5800</v>
      </c>
      <c r="T71" s="89"/>
      <c r="U71" s="89"/>
      <c r="V71" s="89">
        <v>3000</v>
      </c>
      <c r="W71" s="89">
        <v>2200</v>
      </c>
      <c r="X71" s="89">
        <v>5000</v>
      </c>
      <c r="Y71" s="89">
        <v>1000</v>
      </c>
      <c r="Z71" s="89">
        <v>1000</v>
      </c>
      <c r="AA71" s="89">
        <v>500</v>
      </c>
      <c r="AB71" s="123">
        <v>500</v>
      </c>
      <c r="AC71" s="181"/>
      <c r="AD71" s="184"/>
      <c r="AE71" s="184"/>
      <c r="AF71" s="184"/>
      <c r="AG71" s="420"/>
      <c r="AH71" s="10">
        <f t="shared" si="8"/>
        <v>217260.71866290137</v>
      </c>
      <c r="AI71" s="9">
        <f t="shared" si="9"/>
        <v>23000</v>
      </c>
      <c r="AJ71" s="202">
        <f t="shared" si="10"/>
        <v>240260.71866290137</v>
      </c>
    </row>
    <row r="72" spans="1:36" x14ac:dyDescent="0.3">
      <c r="A72" s="160">
        <f t="shared" si="11"/>
        <v>68</v>
      </c>
      <c r="B72" s="117" t="s">
        <v>394</v>
      </c>
      <c r="C72" s="8" t="s">
        <v>184</v>
      </c>
      <c r="D72" s="8" t="s">
        <v>327</v>
      </c>
      <c r="E72" s="11" t="s">
        <v>185</v>
      </c>
      <c r="F72" s="386">
        <f>VLOOKUP($E72,'2015 Appr staffing table'!$D:$K, F$1, FALSE)</f>
        <v>0</v>
      </c>
      <c r="G72" s="386">
        <f>VLOOKUP($E72,'2015 Appr staffing table'!$D:$K, G$1, FALSE)</f>
        <v>0</v>
      </c>
      <c r="H72" s="386">
        <f>VLOOKUP($E72,'2015 Appr staffing table'!$D:$K, H$1, FALSE)</f>
        <v>1</v>
      </c>
      <c r="I72" s="386">
        <f>VLOOKUP($E72,'2015 Appr staffing table'!$D:$K, I$1, FALSE)</f>
        <v>0</v>
      </c>
      <c r="J72" s="386">
        <f>VLOOKUP($E72,'2015 Appr staffing table'!$D:$K, J$1, FALSE)</f>
        <v>0</v>
      </c>
      <c r="K72" s="386">
        <f t="shared" si="12"/>
        <v>1</v>
      </c>
      <c r="L72" s="386">
        <f>VLOOKUP($E72,'2015 Appr staffing table'!$D:$K, L$1, FALSE)</f>
        <v>2</v>
      </c>
      <c r="M72" s="310">
        <f>VLOOKUP($E72,'2015 Appr staffing table'!$D:$S, 15, FALSE)</f>
        <v>179285.00646133337</v>
      </c>
      <c r="N72" s="311">
        <f>VLOOKUP($E72,'2015 Appr staffing table'!$D:$S, 16, FALSE)</f>
        <v>61081.970221047988</v>
      </c>
      <c r="O72" s="123"/>
      <c r="P72" s="123"/>
      <c r="Q72" s="90">
        <v>1000</v>
      </c>
      <c r="R72" s="88">
        <v>7000</v>
      </c>
      <c r="S72" s="89">
        <v>4500</v>
      </c>
      <c r="T72" s="89"/>
      <c r="U72" s="118"/>
      <c r="V72" s="89">
        <f>8000-1100-900</f>
        <v>6000</v>
      </c>
      <c r="W72" s="89">
        <v>1500</v>
      </c>
      <c r="X72" s="89">
        <f>1200+500</f>
        <v>1700</v>
      </c>
      <c r="Y72" s="89">
        <v>500</v>
      </c>
      <c r="Z72" s="89">
        <v>1000</v>
      </c>
      <c r="AA72" s="89">
        <v>500</v>
      </c>
      <c r="AB72" s="123">
        <v>500</v>
      </c>
      <c r="AC72" s="181"/>
      <c r="AD72" s="184"/>
      <c r="AE72" s="184"/>
      <c r="AF72" s="184"/>
      <c r="AG72" s="420"/>
      <c r="AH72" s="10">
        <f t="shared" si="8"/>
        <v>241366.97668238136</v>
      </c>
      <c r="AI72" s="9">
        <f t="shared" si="9"/>
        <v>23200</v>
      </c>
      <c r="AJ72" s="202">
        <f t="shared" si="10"/>
        <v>264566.97668238136</v>
      </c>
    </row>
    <row r="73" spans="1:36" x14ac:dyDescent="0.3">
      <c r="A73" s="160">
        <f t="shared" si="11"/>
        <v>69</v>
      </c>
      <c r="B73" s="8" t="s">
        <v>186</v>
      </c>
      <c r="C73" s="8" t="s">
        <v>187</v>
      </c>
      <c r="D73" s="117" t="s">
        <v>423</v>
      </c>
      <c r="E73" s="11" t="s">
        <v>188</v>
      </c>
      <c r="F73" s="386">
        <f>VLOOKUP($E73,'2015 Appr staffing table'!$D:$K, F$1, FALSE)</f>
        <v>0</v>
      </c>
      <c r="G73" s="386">
        <f>VLOOKUP($E73,'2015 Appr staffing table'!$D:$K, G$1, FALSE)</f>
        <v>1</v>
      </c>
      <c r="H73" s="386">
        <f>VLOOKUP($E73,'2015 Appr staffing table'!$D:$K, H$1, FALSE)</f>
        <v>2</v>
      </c>
      <c r="I73" s="386">
        <f>VLOOKUP($E73,'2015 Appr staffing table'!$D:$K, I$1, FALSE)</f>
        <v>1</v>
      </c>
      <c r="J73" s="386">
        <f>VLOOKUP($E73,'2015 Appr staffing table'!$D:$K, J$1, FALSE)</f>
        <v>0</v>
      </c>
      <c r="K73" s="386">
        <f t="shared" si="12"/>
        <v>4</v>
      </c>
      <c r="L73" s="386">
        <f>VLOOKUP($E73,'2015 Appr staffing table'!$D:$K, L$1, FALSE)</f>
        <v>2</v>
      </c>
      <c r="M73" s="310">
        <f>VLOOKUP($E73,'2015 Appr staffing table'!$D:$S, 15, FALSE)</f>
        <v>924273.28775398782</v>
      </c>
      <c r="N73" s="311">
        <f>VLOOKUP($E73,'2015 Appr staffing table'!$D:$S, 16, FALSE)</f>
        <v>51845.717746613278</v>
      </c>
      <c r="O73" s="123"/>
      <c r="P73" s="123"/>
      <c r="Q73" s="90">
        <v>1000</v>
      </c>
      <c r="R73" s="88">
        <v>6000</v>
      </c>
      <c r="S73" s="89">
        <v>18000</v>
      </c>
      <c r="T73" s="89"/>
      <c r="U73" s="89"/>
      <c r="V73" s="89">
        <v>9000</v>
      </c>
      <c r="W73" s="89">
        <v>5000</v>
      </c>
      <c r="X73" s="89">
        <v>7000</v>
      </c>
      <c r="Y73" s="89">
        <v>2000</v>
      </c>
      <c r="Z73" s="89">
        <v>1000</v>
      </c>
      <c r="AA73" s="89">
        <v>2000</v>
      </c>
      <c r="AB73" s="123">
        <v>1000</v>
      </c>
      <c r="AC73" s="181"/>
      <c r="AD73" s="184"/>
      <c r="AE73" s="184"/>
      <c r="AF73" s="184"/>
      <c r="AG73" s="420"/>
      <c r="AH73" s="10">
        <f t="shared" si="8"/>
        <v>977119.00550060114</v>
      </c>
      <c r="AI73" s="9">
        <f t="shared" si="9"/>
        <v>51000</v>
      </c>
      <c r="AJ73" s="202">
        <f t="shared" si="10"/>
        <v>1028119.0055006011</v>
      </c>
    </row>
    <row r="74" spans="1:36" x14ac:dyDescent="0.3">
      <c r="A74" s="160">
        <f t="shared" si="11"/>
        <v>70</v>
      </c>
      <c r="B74" s="117" t="s">
        <v>379</v>
      </c>
      <c r="C74" s="8" t="s">
        <v>189</v>
      </c>
      <c r="D74" s="117" t="s">
        <v>423</v>
      </c>
      <c r="E74" s="11" t="s">
        <v>190</v>
      </c>
      <c r="F74" s="386">
        <f>VLOOKUP($E74,'2015 Appr staffing table'!$D:$K, F$1, FALSE)</f>
        <v>0</v>
      </c>
      <c r="G74" s="386">
        <f>VLOOKUP($E74,'2015 Appr staffing table'!$D:$K, G$1, FALSE)</f>
        <v>0</v>
      </c>
      <c r="H74" s="386">
        <f>VLOOKUP($E74,'2015 Appr staffing table'!$D:$K, H$1, FALSE)</f>
        <v>1</v>
      </c>
      <c r="I74" s="386">
        <f>VLOOKUP($E74,'2015 Appr staffing table'!$D:$K, I$1, FALSE)</f>
        <v>0</v>
      </c>
      <c r="J74" s="386">
        <f>VLOOKUP($E74,'2015 Appr staffing table'!$D:$K, J$1, FALSE)</f>
        <v>0</v>
      </c>
      <c r="K74" s="386">
        <f t="shared" si="12"/>
        <v>1</v>
      </c>
      <c r="L74" s="386">
        <f>VLOOKUP($E74,'2015 Appr staffing table'!$D:$K, L$1, FALSE)</f>
        <v>2</v>
      </c>
      <c r="M74" s="310">
        <f>VLOOKUP($E74,'2015 Appr staffing table'!$D:$S, 15, FALSE)</f>
        <v>191574.21704218333</v>
      </c>
      <c r="N74" s="311">
        <f>VLOOKUP($E74,'2015 Appr staffing table'!$D:$S, 16, FALSE)</f>
        <v>43660.671148242262</v>
      </c>
      <c r="O74" s="123"/>
      <c r="P74" s="123"/>
      <c r="Q74" s="90">
        <v>1000</v>
      </c>
      <c r="R74" s="88">
        <v>12000</v>
      </c>
      <c r="S74" s="89">
        <v>13500</v>
      </c>
      <c r="T74" s="89"/>
      <c r="U74" s="89"/>
      <c r="V74" s="89">
        <v>2500</v>
      </c>
      <c r="W74" s="89">
        <v>1500</v>
      </c>
      <c r="X74" s="89">
        <v>6000</v>
      </c>
      <c r="Y74" s="89">
        <v>700</v>
      </c>
      <c r="Z74" s="89">
        <v>1000</v>
      </c>
      <c r="AA74" s="89">
        <v>500</v>
      </c>
      <c r="AB74" s="123">
        <v>1500</v>
      </c>
      <c r="AC74" s="181"/>
      <c r="AD74" s="184"/>
      <c r="AE74" s="184"/>
      <c r="AF74" s="184"/>
      <c r="AG74" s="420"/>
      <c r="AH74" s="10">
        <f t="shared" si="8"/>
        <v>236234.88819042558</v>
      </c>
      <c r="AI74" s="9">
        <f t="shared" si="9"/>
        <v>39200</v>
      </c>
      <c r="AJ74" s="202">
        <f t="shared" si="10"/>
        <v>275434.88819042558</v>
      </c>
    </row>
    <row r="75" spans="1:36" x14ac:dyDescent="0.3">
      <c r="A75" s="160">
        <f t="shared" si="11"/>
        <v>71</v>
      </c>
      <c r="B75" s="8" t="s">
        <v>191</v>
      </c>
      <c r="C75" s="8" t="s">
        <v>192</v>
      </c>
      <c r="D75" s="8" t="s">
        <v>328</v>
      </c>
      <c r="E75" s="11" t="s">
        <v>193</v>
      </c>
      <c r="F75" s="386">
        <f>VLOOKUP($E75,'2015 Appr staffing table'!$D:$K, F$1, FALSE)</f>
        <v>0</v>
      </c>
      <c r="G75" s="386">
        <f>VLOOKUP($E75,'2015 Appr staffing table'!$D:$K, G$1, FALSE)</f>
        <v>0</v>
      </c>
      <c r="H75" s="386">
        <f>VLOOKUP($E75,'2015 Appr staffing table'!$D:$K, H$1, FALSE)</f>
        <v>1</v>
      </c>
      <c r="I75" s="386">
        <f>VLOOKUP($E75,'2015 Appr staffing table'!$D:$K, I$1, FALSE)</f>
        <v>0</v>
      </c>
      <c r="J75" s="386">
        <f>VLOOKUP($E75,'2015 Appr staffing table'!$D:$K, J$1, FALSE)</f>
        <v>0</v>
      </c>
      <c r="K75" s="386">
        <f t="shared" si="12"/>
        <v>1</v>
      </c>
      <c r="L75" s="386">
        <f>VLOOKUP($E75,'2015 Appr staffing table'!$D:$K, L$1, FALSE)</f>
        <v>2</v>
      </c>
      <c r="M75" s="310">
        <f>VLOOKUP($E75,'2015 Appr staffing table'!$D:$S, 15, FALSE)</f>
        <v>188042.73392192498</v>
      </c>
      <c r="N75" s="311">
        <f>VLOOKUP($E75,'2015 Appr staffing table'!$D:$S, 16, FALSE)</f>
        <v>105238.0209549733</v>
      </c>
      <c r="O75" s="123"/>
      <c r="P75" s="123"/>
      <c r="Q75" s="90">
        <v>1000</v>
      </c>
      <c r="R75" s="88">
        <v>14000</v>
      </c>
      <c r="S75" s="89">
        <v>49000</v>
      </c>
      <c r="T75" s="89"/>
      <c r="U75" s="8"/>
      <c r="V75" s="89">
        <v>9000</v>
      </c>
      <c r="W75" s="89">
        <f>2000-500</f>
        <v>1500</v>
      </c>
      <c r="X75" s="89">
        <f>2250-750</f>
        <v>1500</v>
      </c>
      <c r="Y75" s="89">
        <v>1000</v>
      </c>
      <c r="Z75" s="89">
        <v>1000</v>
      </c>
      <c r="AA75" s="89">
        <v>500</v>
      </c>
      <c r="AB75" s="123">
        <v>1500</v>
      </c>
      <c r="AC75" s="181"/>
      <c r="AD75" s="184"/>
      <c r="AE75" s="184"/>
      <c r="AF75" s="184"/>
      <c r="AG75" s="420"/>
      <c r="AH75" s="10">
        <f t="shared" si="8"/>
        <v>294280.75487689825</v>
      </c>
      <c r="AI75" s="9">
        <f t="shared" si="9"/>
        <v>79000</v>
      </c>
      <c r="AJ75" s="202">
        <f t="shared" si="10"/>
        <v>373280.75487689825</v>
      </c>
    </row>
    <row r="76" spans="1:36" x14ac:dyDescent="0.3">
      <c r="A76" s="160">
        <f t="shared" si="11"/>
        <v>72</v>
      </c>
      <c r="B76" s="8" t="s">
        <v>499</v>
      </c>
      <c r="C76" s="209" t="s">
        <v>520</v>
      </c>
      <c r="D76" s="8" t="s">
        <v>328</v>
      </c>
      <c r="E76" s="11" t="s">
        <v>345</v>
      </c>
      <c r="F76" s="386">
        <f>VLOOKUP($E76,'2015 Appr staffing table'!$D:$K, F$1, FALSE)</f>
        <v>0</v>
      </c>
      <c r="G76" s="386">
        <f>VLOOKUP($E76,'2015 Appr staffing table'!$D:$K, G$1, FALSE)</f>
        <v>0</v>
      </c>
      <c r="H76" s="386">
        <f>VLOOKUP($E76,'2015 Appr staffing table'!$D:$K, H$1, FALSE)</f>
        <v>0</v>
      </c>
      <c r="I76" s="386">
        <f>VLOOKUP($E76,'2015 Appr staffing table'!$D:$K, I$1, FALSE)</f>
        <v>0</v>
      </c>
      <c r="J76" s="386">
        <f>VLOOKUP($E76,'2015 Appr staffing table'!$D:$K, J$1, FALSE)</f>
        <v>0</v>
      </c>
      <c r="K76" s="386">
        <f t="shared" si="12"/>
        <v>0</v>
      </c>
      <c r="L76" s="386">
        <f>VLOOKUP($E76,'2015 Appr staffing table'!$D:$K, L$1, FALSE)</f>
        <v>1</v>
      </c>
      <c r="M76" s="310">
        <f>VLOOKUP($E76,'2015 Appr staffing table'!$D:$S, 15, FALSE)</f>
        <v>0</v>
      </c>
      <c r="N76" s="311">
        <f>VLOOKUP($E76,'2015 Appr staffing table'!$D:$S, 16, FALSE)</f>
        <v>18615.313023362691</v>
      </c>
      <c r="O76" s="123"/>
      <c r="P76" s="123"/>
      <c r="Q76" s="90">
        <v>0</v>
      </c>
      <c r="R76" s="88">
        <v>0</v>
      </c>
      <c r="S76" s="89">
        <v>0</v>
      </c>
      <c r="T76" s="89"/>
      <c r="U76" s="8"/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123">
        <v>0</v>
      </c>
      <c r="AC76" s="181"/>
      <c r="AD76" s="184"/>
      <c r="AE76" s="184"/>
      <c r="AF76" s="184"/>
      <c r="AG76" s="420"/>
      <c r="AH76" s="261">
        <f t="shared" si="8"/>
        <v>18615.313023362691</v>
      </c>
      <c r="AI76" s="9">
        <f t="shared" si="9"/>
        <v>0</v>
      </c>
      <c r="AJ76" s="202">
        <f t="shared" si="10"/>
        <v>18615.313023362691</v>
      </c>
    </row>
    <row r="77" spans="1:36" x14ac:dyDescent="0.3">
      <c r="A77" s="160">
        <f t="shared" si="11"/>
        <v>73</v>
      </c>
      <c r="B77" s="117" t="s">
        <v>395</v>
      </c>
      <c r="C77" s="8" t="s">
        <v>194</v>
      </c>
      <c r="D77" s="8" t="s">
        <v>327</v>
      </c>
      <c r="E77" s="11" t="s">
        <v>195</v>
      </c>
      <c r="F77" s="386">
        <f>VLOOKUP($E77,'2015 Appr staffing table'!$D:$K, F$1, FALSE)</f>
        <v>0</v>
      </c>
      <c r="G77" s="386">
        <f>VLOOKUP($E77,'2015 Appr staffing table'!$D:$K, G$1, FALSE)</f>
        <v>0</v>
      </c>
      <c r="H77" s="386">
        <f>VLOOKUP($E77,'2015 Appr staffing table'!$D:$K, H$1, FALSE)</f>
        <v>0</v>
      </c>
      <c r="I77" s="386">
        <f>VLOOKUP($E77,'2015 Appr staffing table'!$D:$K, I$1, FALSE)</f>
        <v>0</v>
      </c>
      <c r="J77" s="386">
        <f>VLOOKUP($E77,'2015 Appr staffing table'!$D:$K, J$1, FALSE)</f>
        <v>0</v>
      </c>
      <c r="K77" s="386">
        <f t="shared" si="12"/>
        <v>0</v>
      </c>
      <c r="L77" s="386">
        <f>VLOOKUP($E77,'2015 Appr staffing table'!$D:$K, L$1, FALSE)</f>
        <v>2</v>
      </c>
      <c r="M77" s="310">
        <f>VLOOKUP($E77,'2015 Appr staffing table'!$D:$S, 15, FALSE)</f>
        <v>0</v>
      </c>
      <c r="N77" s="311">
        <f>VLOOKUP($E77,'2015 Appr staffing table'!$D:$S, 16, FALSE)</f>
        <v>48465.603138945022</v>
      </c>
      <c r="O77" s="123"/>
      <c r="P77" s="123"/>
      <c r="Q77" s="90">
        <v>1000</v>
      </c>
      <c r="R77" s="88">
        <v>4000</v>
      </c>
      <c r="S77" s="89">
        <v>4000</v>
      </c>
      <c r="T77" s="89"/>
      <c r="U77" s="89"/>
      <c r="V77" s="89">
        <v>1800</v>
      </c>
      <c r="W77" s="89">
        <v>1000</v>
      </c>
      <c r="X77" s="89">
        <v>1000</v>
      </c>
      <c r="Y77" s="89">
        <v>800</v>
      </c>
      <c r="Z77" s="89">
        <v>500</v>
      </c>
      <c r="AA77" s="89">
        <v>1000</v>
      </c>
      <c r="AB77" s="123">
        <v>900</v>
      </c>
      <c r="AC77" s="181"/>
      <c r="AD77" s="184"/>
      <c r="AE77" s="184"/>
      <c r="AF77" s="184"/>
      <c r="AG77" s="420"/>
      <c r="AH77" s="10">
        <f t="shared" si="8"/>
        <v>49465.603138945022</v>
      </c>
      <c r="AI77" s="9">
        <f t="shared" si="9"/>
        <v>15000</v>
      </c>
      <c r="AJ77" s="202">
        <f t="shared" si="10"/>
        <v>64465.603138945022</v>
      </c>
    </row>
    <row r="78" spans="1:36" x14ac:dyDescent="0.3">
      <c r="A78" s="160">
        <f t="shared" si="11"/>
        <v>74</v>
      </c>
      <c r="B78" s="117" t="s">
        <v>405</v>
      </c>
      <c r="C78" s="8" t="s">
        <v>196</v>
      </c>
      <c r="D78" s="117" t="s">
        <v>423</v>
      </c>
      <c r="E78" s="11" t="s">
        <v>197</v>
      </c>
      <c r="F78" s="386">
        <f>VLOOKUP($E78,'2015 Appr staffing table'!$D:$K, F$1, FALSE)</f>
        <v>0</v>
      </c>
      <c r="G78" s="386">
        <f>VLOOKUP($E78,'2015 Appr staffing table'!$D:$K, G$1, FALSE)</f>
        <v>0</v>
      </c>
      <c r="H78" s="386">
        <f>VLOOKUP($E78,'2015 Appr staffing table'!$D:$K, H$1, FALSE)</f>
        <v>1</v>
      </c>
      <c r="I78" s="386">
        <f>VLOOKUP($E78,'2015 Appr staffing table'!$D:$K, I$1, FALSE)</f>
        <v>0</v>
      </c>
      <c r="J78" s="386">
        <f>VLOOKUP($E78,'2015 Appr staffing table'!$D:$K, J$1, FALSE)</f>
        <v>0</v>
      </c>
      <c r="K78" s="386">
        <f t="shared" si="12"/>
        <v>1</v>
      </c>
      <c r="L78" s="386">
        <f>VLOOKUP($E78,'2015 Appr staffing table'!$D:$K, L$1, FALSE)</f>
        <v>2</v>
      </c>
      <c r="M78" s="310">
        <f>VLOOKUP($E78,'2015 Appr staffing table'!$D:$S, 15, FALSE)</f>
        <v>173982.16231088334</v>
      </c>
      <c r="N78" s="311">
        <f>VLOOKUP($E78,'2015 Appr staffing table'!$D:$S, 16, FALSE)</f>
        <v>84353.037757199592</v>
      </c>
      <c r="O78" s="89"/>
      <c r="P78" s="89"/>
      <c r="Q78" s="90">
        <v>1000</v>
      </c>
      <c r="R78" s="88">
        <v>7500</v>
      </c>
      <c r="S78" s="89">
        <v>20600</v>
      </c>
      <c r="T78" s="89"/>
      <c r="U78" s="89"/>
      <c r="V78" s="89">
        <v>6500</v>
      </c>
      <c r="W78" s="89">
        <v>2400</v>
      </c>
      <c r="X78" s="89">
        <v>2000</v>
      </c>
      <c r="Y78" s="89">
        <v>1000</v>
      </c>
      <c r="Z78" s="89">
        <v>500</v>
      </c>
      <c r="AA78" s="89">
        <v>500</v>
      </c>
      <c r="AB78" s="123">
        <v>500</v>
      </c>
      <c r="AC78" s="181"/>
      <c r="AD78" s="184"/>
      <c r="AE78" s="184"/>
      <c r="AF78" s="184"/>
      <c r="AG78" s="420"/>
      <c r="AH78" s="10">
        <f t="shared" si="8"/>
        <v>259335.20006808295</v>
      </c>
      <c r="AI78" s="9">
        <f t="shared" si="9"/>
        <v>41500</v>
      </c>
      <c r="AJ78" s="202">
        <f t="shared" si="10"/>
        <v>300835.20006808295</v>
      </c>
    </row>
    <row r="79" spans="1:36" x14ac:dyDescent="0.3">
      <c r="A79" s="160">
        <f t="shared" si="11"/>
        <v>75</v>
      </c>
      <c r="B79" s="8" t="s">
        <v>198</v>
      </c>
      <c r="C79" s="8" t="s">
        <v>199</v>
      </c>
      <c r="D79" s="117" t="s">
        <v>423</v>
      </c>
      <c r="E79" s="11" t="s">
        <v>200</v>
      </c>
      <c r="F79" s="387">
        <f>VLOOKUP($E79,'2015 Appr staffing table'!$D:$K, F$1, FALSE)</f>
        <v>0</v>
      </c>
      <c r="G79" s="386">
        <f>VLOOKUP($E79,'2015 Appr staffing table'!$D:$K, G$1, FALSE)</f>
        <v>0</v>
      </c>
      <c r="H79" s="386">
        <f>VLOOKUP($E79,'2015 Appr staffing table'!$D:$K, H$1, FALSE)</f>
        <v>1</v>
      </c>
      <c r="I79" s="386">
        <f>VLOOKUP($E79,'2015 Appr staffing table'!$D:$K, I$1, FALSE)</f>
        <v>0</v>
      </c>
      <c r="J79" s="386">
        <f>VLOOKUP($E79,'2015 Appr staffing table'!$D:$K, J$1, FALSE)</f>
        <v>0</v>
      </c>
      <c r="K79" s="388">
        <f t="shared" si="12"/>
        <v>1</v>
      </c>
      <c r="L79" s="389">
        <f>VLOOKUP($E79,'2015 Appr staffing table'!$D:$K, L$1, FALSE)</f>
        <v>2</v>
      </c>
      <c r="M79" s="310">
        <f>VLOOKUP($E79,'2015 Appr staffing table'!$D:$S, 15, FALSE)</f>
        <v>203415.05544347499</v>
      </c>
      <c r="N79" s="311">
        <f>VLOOKUP($E79,'2015 Appr staffing table'!$D:$S, 16, FALSE)</f>
        <v>87398.188382394117</v>
      </c>
      <c r="O79" s="89"/>
      <c r="P79" s="89"/>
      <c r="Q79" s="90">
        <v>1000</v>
      </c>
      <c r="R79" s="88">
        <v>5000</v>
      </c>
      <c r="S79" s="89">
        <v>20000</v>
      </c>
      <c r="T79" s="89">
        <v>0</v>
      </c>
      <c r="U79" s="89"/>
      <c r="V79" s="89">
        <v>7000</v>
      </c>
      <c r="W79" s="89">
        <v>1000</v>
      </c>
      <c r="X79" s="89">
        <v>1000</v>
      </c>
      <c r="Y79" s="89">
        <v>700</v>
      </c>
      <c r="Z79" s="89">
        <v>1000</v>
      </c>
      <c r="AA79" s="89">
        <v>500</v>
      </c>
      <c r="AB79" s="123">
        <v>800</v>
      </c>
      <c r="AC79" s="181"/>
      <c r="AD79" s="184"/>
      <c r="AE79" s="184"/>
      <c r="AF79" s="184"/>
      <c r="AG79" s="420"/>
      <c r="AH79" s="10">
        <f t="shared" si="8"/>
        <v>291813.24382586911</v>
      </c>
      <c r="AI79" s="9">
        <f t="shared" si="9"/>
        <v>37000</v>
      </c>
      <c r="AJ79" s="202">
        <f t="shared" si="10"/>
        <v>328813.24382586911</v>
      </c>
    </row>
    <row r="80" spans="1:36" x14ac:dyDescent="0.3">
      <c r="A80" s="160">
        <f t="shared" si="11"/>
        <v>76</v>
      </c>
      <c r="B80" s="117" t="s">
        <v>396</v>
      </c>
      <c r="C80" s="8" t="s">
        <v>201</v>
      </c>
      <c r="D80" s="8" t="s">
        <v>327</v>
      </c>
      <c r="E80" s="11" t="s">
        <v>202</v>
      </c>
      <c r="F80" s="387">
        <f>VLOOKUP($E80,'2015 Appr staffing table'!$D:$K, F$1, FALSE)</f>
        <v>0</v>
      </c>
      <c r="G80" s="386">
        <f>VLOOKUP($E80,'2015 Appr staffing table'!$D:$K, G$1, FALSE)</f>
        <v>0</v>
      </c>
      <c r="H80" s="386">
        <f>VLOOKUP($E80,'2015 Appr staffing table'!$D:$K, H$1, FALSE)</f>
        <v>1</v>
      </c>
      <c r="I80" s="386">
        <f>VLOOKUP($E80,'2015 Appr staffing table'!$D:$K, I$1, FALSE)</f>
        <v>1</v>
      </c>
      <c r="J80" s="386">
        <f>VLOOKUP($E80,'2015 Appr staffing table'!$D:$K, J$1, FALSE)</f>
        <v>0</v>
      </c>
      <c r="K80" s="388">
        <f t="shared" si="12"/>
        <v>2</v>
      </c>
      <c r="L80" s="389">
        <f>VLOOKUP($E80,'2015 Appr staffing table'!$D:$K, L$1, FALSE)</f>
        <v>2</v>
      </c>
      <c r="M80" s="310">
        <f>VLOOKUP($E80,'2015 Appr staffing table'!$D:$S, 15, FALSE)</f>
        <v>365141.56561058585</v>
      </c>
      <c r="N80" s="311">
        <f>VLOOKUP($E80,'2015 Appr staffing table'!$D:$S, 16, FALSE)</f>
        <v>40780.09958470532</v>
      </c>
      <c r="O80" s="89"/>
      <c r="P80" s="89"/>
      <c r="Q80" s="90">
        <v>1000</v>
      </c>
      <c r="R80" s="88">
        <v>6000</v>
      </c>
      <c r="S80" s="89">
        <v>4500</v>
      </c>
      <c r="T80" s="89"/>
      <c r="U80" s="89"/>
      <c r="V80" s="89">
        <v>6000</v>
      </c>
      <c r="W80" s="89">
        <v>2000</v>
      </c>
      <c r="X80" s="89">
        <v>2300</v>
      </c>
      <c r="Y80" s="89">
        <v>700</v>
      </c>
      <c r="Z80" s="89">
        <v>1000</v>
      </c>
      <c r="AA80" s="89">
        <v>500</v>
      </c>
      <c r="AB80" s="123">
        <v>500</v>
      </c>
      <c r="AC80" s="181"/>
      <c r="AD80" s="184"/>
      <c r="AE80" s="184"/>
      <c r="AF80" s="184"/>
      <c r="AG80" s="420"/>
      <c r="AH80" s="10">
        <f t="shared" si="8"/>
        <v>406921.66519529116</v>
      </c>
      <c r="AI80" s="9">
        <f t="shared" si="9"/>
        <v>23500</v>
      </c>
      <c r="AJ80" s="202">
        <f t="shared" si="10"/>
        <v>430421.66519529116</v>
      </c>
    </row>
    <row r="81" spans="1:36" x14ac:dyDescent="0.3">
      <c r="A81" s="160">
        <f t="shared" si="11"/>
        <v>77</v>
      </c>
      <c r="B81" s="8" t="s">
        <v>203</v>
      </c>
      <c r="C81" s="8" t="s">
        <v>204</v>
      </c>
      <c r="D81" s="117" t="s">
        <v>423</v>
      </c>
      <c r="E81" s="11" t="s">
        <v>205</v>
      </c>
      <c r="F81" s="386">
        <f>VLOOKUP($E81,'2015 Appr staffing table'!$D:$K, F$1, FALSE)</f>
        <v>0</v>
      </c>
      <c r="G81" s="386">
        <f>VLOOKUP($E81,'2015 Appr staffing table'!$D:$K, G$1, FALSE)</f>
        <v>0</v>
      </c>
      <c r="H81" s="386">
        <f>VLOOKUP($E81,'2015 Appr staffing table'!$D:$K, H$1, FALSE)</f>
        <v>0</v>
      </c>
      <c r="I81" s="386">
        <f>VLOOKUP($E81,'2015 Appr staffing table'!$D:$K, I$1, FALSE)</f>
        <v>0</v>
      </c>
      <c r="J81" s="386">
        <f>VLOOKUP($E81,'2015 Appr staffing table'!$D:$K, J$1, FALSE)</f>
        <v>0</v>
      </c>
      <c r="K81" s="386">
        <f t="shared" si="12"/>
        <v>0</v>
      </c>
      <c r="L81" s="386">
        <f>VLOOKUP($E81,'2015 Appr staffing table'!$D:$K, L$1, FALSE)</f>
        <v>1</v>
      </c>
      <c r="M81" s="310">
        <f>VLOOKUP($E81,'2015 Appr staffing table'!$D:$S, 15, FALSE)</f>
        <v>0</v>
      </c>
      <c r="N81" s="311">
        <f>VLOOKUP($E81,'2015 Appr staffing table'!$D:$S, 16, FALSE)</f>
        <v>35671.817175383461</v>
      </c>
      <c r="O81" s="89"/>
      <c r="P81" s="89"/>
      <c r="Q81" s="90">
        <f>1000-500</f>
        <v>500</v>
      </c>
      <c r="R81" s="88">
        <v>3000</v>
      </c>
      <c r="S81" s="89">
        <v>7000</v>
      </c>
      <c r="T81" s="89"/>
      <c r="U81" s="89"/>
      <c r="V81" s="89">
        <v>3000</v>
      </c>
      <c r="W81" s="89">
        <v>1000</v>
      </c>
      <c r="X81" s="89">
        <v>2000</v>
      </c>
      <c r="Y81" s="89">
        <v>700</v>
      </c>
      <c r="Z81" s="89">
        <v>0</v>
      </c>
      <c r="AA81" s="89">
        <v>0</v>
      </c>
      <c r="AB81" s="123">
        <v>600</v>
      </c>
      <c r="AC81" s="287"/>
      <c r="AD81" s="184"/>
      <c r="AE81" s="184"/>
      <c r="AF81" s="184"/>
      <c r="AG81" s="420"/>
      <c r="AH81" s="10">
        <f t="shared" si="8"/>
        <v>36171.817175383461</v>
      </c>
      <c r="AI81" s="9">
        <f t="shared" si="9"/>
        <v>17300</v>
      </c>
      <c r="AJ81" s="202">
        <f t="shared" si="10"/>
        <v>53471.817175383461</v>
      </c>
    </row>
    <row r="82" spans="1:36" x14ac:dyDescent="0.3">
      <c r="A82" s="160">
        <f t="shared" si="11"/>
        <v>78</v>
      </c>
      <c r="B82" s="117" t="s">
        <v>397</v>
      </c>
      <c r="C82" s="8" t="s">
        <v>206</v>
      </c>
      <c r="D82" s="8" t="s">
        <v>327</v>
      </c>
      <c r="E82" s="11" t="s">
        <v>207</v>
      </c>
      <c r="F82" s="386">
        <f>VLOOKUP($E82,'2015 Appr staffing table'!$D:$K, F$1, FALSE)</f>
        <v>0</v>
      </c>
      <c r="G82" s="386">
        <f>VLOOKUP($E82,'2015 Appr staffing table'!$D:$K, G$1, FALSE)</f>
        <v>0</v>
      </c>
      <c r="H82" s="386">
        <f>VLOOKUP($E82,'2015 Appr staffing table'!$D:$K, H$1, FALSE)</f>
        <v>1</v>
      </c>
      <c r="I82" s="386">
        <f>VLOOKUP($E82,'2015 Appr staffing table'!$D:$K, I$1, FALSE)</f>
        <v>1</v>
      </c>
      <c r="J82" s="386">
        <f>VLOOKUP($E82,'2015 Appr staffing table'!$D:$K, J$1, FALSE)</f>
        <v>0</v>
      </c>
      <c r="K82" s="386">
        <f t="shared" si="12"/>
        <v>2</v>
      </c>
      <c r="L82" s="386">
        <f>VLOOKUP($E82,'2015 Appr staffing table'!$D:$K, L$1, FALSE)</f>
        <v>4</v>
      </c>
      <c r="M82" s="310">
        <f>VLOOKUP($E82,'2015 Appr staffing table'!$D:$S, 15, FALSE)</f>
        <v>346305.50771188643</v>
      </c>
      <c r="N82" s="311">
        <f>VLOOKUP($E82,'2015 Appr staffing table'!$D:$S, 16, FALSE)</f>
        <v>71376.387529057669</v>
      </c>
      <c r="O82" s="89"/>
      <c r="P82" s="89"/>
      <c r="Q82" s="90">
        <v>2000</v>
      </c>
      <c r="R82" s="88">
        <v>8000</v>
      </c>
      <c r="S82" s="89">
        <v>21000</v>
      </c>
      <c r="T82" s="89"/>
      <c r="U82" s="89"/>
      <c r="V82" s="89">
        <v>7000</v>
      </c>
      <c r="W82" s="89">
        <v>2500</v>
      </c>
      <c r="X82" s="89">
        <v>2000</v>
      </c>
      <c r="Y82" s="89">
        <v>1400</v>
      </c>
      <c r="Z82" s="89">
        <v>1000</v>
      </c>
      <c r="AA82" s="89">
        <v>1000</v>
      </c>
      <c r="AB82" s="123">
        <v>900</v>
      </c>
      <c r="AC82" s="181"/>
      <c r="AD82" s="184"/>
      <c r="AE82" s="184"/>
      <c r="AF82" s="184"/>
      <c r="AG82" s="420"/>
      <c r="AH82" s="10">
        <f t="shared" si="8"/>
        <v>419681.89524094411</v>
      </c>
      <c r="AI82" s="9">
        <f t="shared" si="9"/>
        <v>44800</v>
      </c>
      <c r="AJ82" s="202">
        <f t="shared" si="10"/>
        <v>464481.89524094411</v>
      </c>
    </row>
    <row r="83" spans="1:36" x14ac:dyDescent="0.3">
      <c r="A83" s="160">
        <f t="shared" si="11"/>
        <v>79</v>
      </c>
      <c r="B83" s="8" t="s">
        <v>208</v>
      </c>
      <c r="C83" s="8" t="s">
        <v>209</v>
      </c>
      <c r="D83" s="8" t="s">
        <v>328</v>
      </c>
      <c r="E83" s="11" t="s">
        <v>210</v>
      </c>
      <c r="F83" s="386">
        <f>VLOOKUP($E83,'2015 Appr staffing table'!$D:$K, F$1, FALSE)</f>
        <v>0</v>
      </c>
      <c r="G83" s="386">
        <f>VLOOKUP($E83,'2015 Appr staffing table'!$D:$K, G$1, FALSE)</f>
        <v>0</v>
      </c>
      <c r="H83" s="386">
        <f>VLOOKUP($E83,'2015 Appr staffing table'!$D:$K, H$1, FALSE)</f>
        <v>1</v>
      </c>
      <c r="I83" s="386">
        <f>VLOOKUP($E83,'2015 Appr staffing table'!$D:$K, I$1, FALSE)</f>
        <v>0</v>
      </c>
      <c r="J83" s="386">
        <f>VLOOKUP($E83,'2015 Appr staffing table'!$D:$K, J$1, FALSE)</f>
        <v>0</v>
      </c>
      <c r="K83" s="386">
        <f t="shared" si="12"/>
        <v>1</v>
      </c>
      <c r="L83" s="386">
        <f>VLOOKUP($E83,'2015 Appr staffing table'!$D:$K, L$1, FALSE)</f>
        <v>2</v>
      </c>
      <c r="M83" s="310">
        <f>VLOOKUP($E83,'2015 Appr staffing table'!$D:$S, 15, FALSE)</f>
        <v>177645.36658199999</v>
      </c>
      <c r="N83" s="311">
        <f>VLOOKUP($E83,'2015 Appr staffing table'!$D:$S, 16, FALSE)</f>
        <v>52065.144989314591</v>
      </c>
      <c r="O83" s="123"/>
      <c r="P83" s="123"/>
      <c r="Q83" s="90">
        <v>1000</v>
      </c>
      <c r="R83" s="88">
        <f>5000+3000</f>
        <v>8000</v>
      </c>
      <c r="S83" s="89">
        <v>13500</v>
      </c>
      <c r="T83" s="89"/>
      <c r="U83" s="89"/>
      <c r="V83" s="89">
        <v>10000</v>
      </c>
      <c r="W83" s="89">
        <v>2000</v>
      </c>
      <c r="X83" s="89">
        <v>3000</v>
      </c>
      <c r="Y83" s="89">
        <v>700</v>
      </c>
      <c r="Z83" s="89">
        <v>1000</v>
      </c>
      <c r="AA83" s="89">
        <v>500</v>
      </c>
      <c r="AB83" s="123">
        <v>1600</v>
      </c>
      <c r="AC83" s="181"/>
      <c r="AD83" s="184"/>
      <c r="AE83" s="184"/>
      <c r="AF83" s="184"/>
      <c r="AG83" s="420"/>
      <c r="AH83" s="10">
        <f t="shared" si="8"/>
        <v>230710.51157131459</v>
      </c>
      <c r="AI83" s="9">
        <f t="shared" si="9"/>
        <v>40300</v>
      </c>
      <c r="AJ83" s="202">
        <f t="shared" si="10"/>
        <v>271010.51157131459</v>
      </c>
    </row>
    <row r="84" spans="1:36" x14ac:dyDescent="0.3">
      <c r="A84" s="160">
        <f t="shared" si="11"/>
        <v>80</v>
      </c>
      <c r="B84" s="8" t="s">
        <v>211</v>
      </c>
      <c r="C84" s="8" t="s">
        <v>212</v>
      </c>
      <c r="D84" s="117" t="s">
        <v>423</v>
      </c>
      <c r="E84" s="11" t="s">
        <v>213</v>
      </c>
      <c r="F84" s="386">
        <f>VLOOKUP($E84,'2015 Appr staffing table'!$D:$K, F$1, FALSE)</f>
        <v>0</v>
      </c>
      <c r="G84" s="386">
        <f>VLOOKUP($E84,'2015 Appr staffing table'!$D:$K, G$1, FALSE)</f>
        <v>0</v>
      </c>
      <c r="H84" s="386">
        <f>VLOOKUP($E84,'2015 Appr staffing table'!$D:$K, H$1, FALSE)</f>
        <v>1</v>
      </c>
      <c r="I84" s="386">
        <f>VLOOKUP($E84,'2015 Appr staffing table'!$D:$K, I$1, FALSE)</f>
        <v>0</v>
      </c>
      <c r="J84" s="386">
        <f>VLOOKUP($E84,'2015 Appr staffing table'!$D:$K, J$1, FALSE)</f>
        <v>1</v>
      </c>
      <c r="K84" s="386">
        <f t="shared" si="12"/>
        <v>2</v>
      </c>
      <c r="L84" s="386">
        <f>VLOOKUP($E84,'2015 Appr staffing table'!$D:$K, L$1, FALSE)</f>
        <v>2</v>
      </c>
      <c r="M84" s="310">
        <f>VLOOKUP($E84,'2015 Appr staffing table'!$D:$S, 15, FALSE)</f>
        <v>342232.71007569938</v>
      </c>
      <c r="N84" s="311">
        <f>VLOOKUP($E84,'2015 Appr staffing table'!$D:$S, 16, FALSE)</f>
        <v>65451.926081069287</v>
      </c>
      <c r="O84" s="123"/>
      <c r="P84" s="123"/>
      <c r="Q84" s="90">
        <v>1000</v>
      </c>
      <c r="R84" s="88">
        <v>6000</v>
      </c>
      <c r="S84" s="89">
        <v>14000</v>
      </c>
      <c r="T84" s="89"/>
      <c r="U84" s="89"/>
      <c r="V84" s="89">
        <v>14000</v>
      </c>
      <c r="W84" s="89">
        <v>1500</v>
      </c>
      <c r="X84" s="89">
        <f>2000+1000</f>
        <v>3000</v>
      </c>
      <c r="Y84" s="89">
        <v>700</v>
      </c>
      <c r="Z84" s="89">
        <v>1000</v>
      </c>
      <c r="AA84" s="89">
        <v>500</v>
      </c>
      <c r="AB84" s="123">
        <v>500</v>
      </c>
      <c r="AC84" s="181"/>
      <c r="AD84" s="184"/>
      <c r="AE84" s="184"/>
      <c r="AF84" s="184"/>
      <c r="AG84" s="420"/>
      <c r="AH84" s="10">
        <f t="shared" si="8"/>
        <v>408684.63615676865</v>
      </c>
      <c r="AI84" s="9">
        <f t="shared" si="9"/>
        <v>41200</v>
      </c>
      <c r="AJ84" s="203">
        <f t="shared" si="10"/>
        <v>449884.63615676865</v>
      </c>
    </row>
    <row r="85" spans="1:36" x14ac:dyDescent="0.3">
      <c r="A85" s="160">
        <f t="shared" si="11"/>
        <v>81</v>
      </c>
      <c r="B85" s="117" t="s">
        <v>380</v>
      </c>
      <c r="C85" s="8" t="s">
        <v>214</v>
      </c>
      <c r="D85" s="117" t="s">
        <v>423</v>
      </c>
      <c r="E85" s="11" t="s">
        <v>215</v>
      </c>
      <c r="F85" s="386">
        <f>VLOOKUP($E85,'2015 Appr staffing table'!$D:$K, F$1, FALSE)</f>
        <v>0</v>
      </c>
      <c r="G85" s="386">
        <f>VLOOKUP($E85,'2015 Appr staffing table'!$D:$K, G$1, FALSE)</f>
        <v>1</v>
      </c>
      <c r="H85" s="386">
        <f>VLOOKUP($E85,'2015 Appr staffing table'!$D:$K, H$1, FALSE)</f>
        <v>3</v>
      </c>
      <c r="I85" s="386">
        <f>VLOOKUP($E85,'2015 Appr staffing table'!$D:$K, I$1, FALSE)</f>
        <v>3</v>
      </c>
      <c r="J85" s="386">
        <f>VLOOKUP($E85,'2015 Appr staffing table'!$D:$K, J$1, FALSE)</f>
        <v>0</v>
      </c>
      <c r="K85" s="386">
        <f t="shared" si="12"/>
        <v>7</v>
      </c>
      <c r="L85" s="386">
        <f>VLOOKUP($E85,'2015 Appr staffing table'!$D:$K, L$1, FALSE)</f>
        <v>6</v>
      </c>
      <c r="M85" s="310">
        <f>VLOOKUP($E85,'2015 Appr staffing table'!$D:$S, 15, FALSE)</f>
        <v>1454384.6686293771</v>
      </c>
      <c r="N85" s="311">
        <f>VLOOKUP($E85,'2015 Appr staffing table'!$D:$S, 16, FALSE)</f>
        <v>384144.83371643891</v>
      </c>
      <c r="O85" s="123"/>
      <c r="P85" s="123"/>
      <c r="Q85" s="90">
        <v>3000</v>
      </c>
      <c r="R85" s="128">
        <v>40000</v>
      </c>
      <c r="S85" s="89">
        <v>30000</v>
      </c>
      <c r="T85" s="89"/>
      <c r="U85" s="89"/>
      <c r="V85" s="89">
        <v>20000</v>
      </c>
      <c r="W85" s="89">
        <v>5000</v>
      </c>
      <c r="X85" s="89">
        <v>11000</v>
      </c>
      <c r="Y85" s="89">
        <v>5000</v>
      </c>
      <c r="Z85" s="89">
        <v>1000</v>
      </c>
      <c r="AA85" s="89">
        <v>1000</v>
      </c>
      <c r="AB85" s="123">
        <v>3000</v>
      </c>
      <c r="AC85" s="181"/>
      <c r="AD85" s="184"/>
      <c r="AE85" s="184"/>
      <c r="AF85" s="184"/>
      <c r="AG85" s="420"/>
      <c r="AH85" s="10">
        <f t="shared" si="8"/>
        <v>1841529.502345816</v>
      </c>
      <c r="AI85" s="9">
        <f t="shared" si="9"/>
        <v>116000</v>
      </c>
      <c r="AJ85" s="202">
        <f t="shared" si="10"/>
        <v>1957529.502345816</v>
      </c>
    </row>
    <row r="86" spans="1:36" x14ac:dyDescent="0.3">
      <c r="A86" s="160">
        <f t="shared" si="11"/>
        <v>82</v>
      </c>
      <c r="B86" s="8" t="s">
        <v>216</v>
      </c>
      <c r="C86" s="8" t="s">
        <v>217</v>
      </c>
      <c r="D86" s="8" t="s">
        <v>327</v>
      </c>
      <c r="E86" s="11" t="s">
        <v>218</v>
      </c>
      <c r="F86" s="386">
        <f>VLOOKUP($E86,'2015 Appr staffing table'!$D:$K, F$1, FALSE)</f>
        <v>1</v>
      </c>
      <c r="G86" s="386">
        <f>VLOOKUP($E86,'2015 Appr staffing table'!$D:$K, G$1, FALSE)</f>
        <v>0</v>
      </c>
      <c r="H86" s="386">
        <f>VLOOKUP($E86,'2015 Appr staffing table'!$D:$K, H$1, FALSE)</f>
        <v>10</v>
      </c>
      <c r="I86" s="386">
        <f>VLOOKUP($E86,'2015 Appr staffing table'!$D:$K, I$1, FALSE)</f>
        <v>6</v>
      </c>
      <c r="J86" s="386">
        <f>VLOOKUP($E86,'2015 Appr staffing table'!$D:$K, J$1, FALSE)</f>
        <v>0</v>
      </c>
      <c r="K86" s="386">
        <f t="shared" si="12"/>
        <v>17</v>
      </c>
      <c r="L86" s="386">
        <f>VLOOKUP($E86,'2015 Appr staffing table'!$D:$K, L$1, FALSE)</f>
        <v>23</v>
      </c>
      <c r="M86" s="310">
        <f>VLOOKUP($E86,'2015 Appr staffing table'!$D:$S, 15, FALSE)</f>
        <v>3399535.9756065072</v>
      </c>
      <c r="N86" s="311">
        <f>VLOOKUP($E86,'2015 Appr staffing table'!$D:$S, 16, FALSE)</f>
        <v>576397.28804135777</v>
      </c>
      <c r="O86" s="123"/>
      <c r="P86" s="123"/>
      <c r="Q86" s="90">
        <v>10000</v>
      </c>
      <c r="R86" s="128">
        <v>70000</v>
      </c>
      <c r="S86" s="129">
        <v>385000</v>
      </c>
      <c r="T86" s="129"/>
      <c r="U86" s="129"/>
      <c r="V86" s="311">
        <v>37000</v>
      </c>
      <c r="W86" s="129">
        <f>40000+55000</f>
        <v>95000</v>
      </c>
      <c r="X86" s="129">
        <v>50000</v>
      </c>
      <c r="Y86" s="311">
        <v>7000</v>
      </c>
      <c r="Z86" s="129">
        <v>1500</v>
      </c>
      <c r="AA86" s="129">
        <v>13500</v>
      </c>
      <c r="AB86" s="130">
        <v>2000</v>
      </c>
      <c r="AC86" s="181"/>
      <c r="AD86" s="184"/>
      <c r="AE86" s="184"/>
      <c r="AF86" s="184"/>
      <c r="AG86" s="420"/>
      <c r="AH86" s="10">
        <f t="shared" si="8"/>
        <v>3985933.263647865</v>
      </c>
      <c r="AI86" s="9">
        <f t="shared" si="9"/>
        <v>661000</v>
      </c>
      <c r="AJ86" s="203">
        <f t="shared" si="10"/>
        <v>4646933.2636478655</v>
      </c>
    </row>
    <row r="87" spans="1:36" x14ac:dyDescent="0.3">
      <c r="A87" s="160">
        <f t="shared" si="11"/>
        <v>83</v>
      </c>
      <c r="B87" s="8" t="s">
        <v>219</v>
      </c>
      <c r="C87" s="8" t="s">
        <v>220</v>
      </c>
      <c r="D87" s="8" t="s">
        <v>328</v>
      </c>
      <c r="E87" s="11" t="s">
        <v>221</v>
      </c>
      <c r="F87" s="386">
        <f>VLOOKUP($E87,'2015 Appr staffing table'!$D:$K, F$1, FALSE)</f>
        <v>0</v>
      </c>
      <c r="G87" s="386">
        <f>VLOOKUP($E87,'2015 Appr staffing table'!$D:$K, G$1, FALSE)</f>
        <v>0</v>
      </c>
      <c r="H87" s="386">
        <f>VLOOKUP($E87,'2015 Appr staffing table'!$D:$K, H$1, FALSE)</f>
        <v>2</v>
      </c>
      <c r="I87" s="386">
        <f>VLOOKUP($E87,'2015 Appr staffing table'!$D:$K, I$1, FALSE)</f>
        <v>0</v>
      </c>
      <c r="J87" s="386">
        <f>VLOOKUP($E87,'2015 Appr staffing table'!$D:$K, J$1, FALSE)</f>
        <v>0</v>
      </c>
      <c r="K87" s="386">
        <f t="shared" si="12"/>
        <v>2</v>
      </c>
      <c r="L87" s="386">
        <f>VLOOKUP($E87,'2015 Appr staffing table'!$D:$K, L$1, FALSE)</f>
        <v>2</v>
      </c>
      <c r="M87" s="310">
        <f>VLOOKUP($E87,'2015 Appr staffing table'!$D:$S, 15, FALSE)</f>
        <v>358087.93618171662</v>
      </c>
      <c r="N87" s="311">
        <f>VLOOKUP($E87,'2015 Appr staffing table'!$D:$S, 16, FALSE)</f>
        <v>83049.730254711802</v>
      </c>
      <c r="O87" s="123"/>
      <c r="P87" s="123"/>
      <c r="Q87" s="90">
        <v>1000</v>
      </c>
      <c r="R87" s="88">
        <v>3000</v>
      </c>
      <c r="S87" s="89">
        <v>22000</v>
      </c>
      <c r="T87" s="89"/>
      <c r="U87" s="89"/>
      <c r="V87" s="89">
        <v>11000</v>
      </c>
      <c r="W87" s="89">
        <v>2500</v>
      </c>
      <c r="X87" s="89">
        <v>7000</v>
      </c>
      <c r="Y87" s="89">
        <v>1000</v>
      </c>
      <c r="Z87" s="89">
        <v>1000</v>
      </c>
      <c r="AA87" s="89">
        <v>1000</v>
      </c>
      <c r="AB87" s="123">
        <v>2000</v>
      </c>
      <c r="AC87" s="181"/>
      <c r="AD87" s="184"/>
      <c r="AE87" s="184"/>
      <c r="AF87" s="184"/>
      <c r="AG87" s="420"/>
      <c r="AH87" s="10">
        <f t="shared" si="8"/>
        <v>442137.66643642844</v>
      </c>
      <c r="AI87" s="9">
        <f t="shared" si="9"/>
        <v>50500</v>
      </c>
      <c r="AJ87" s="202">
        <f t="shared" si="10"/>
        <v>492637.66643642844</v>
      </c>
    </row>
    <row r="88" spans="1:36" x14ac:dyDescent="0.3">
      <c r="A88" s="160">
        <f t="shared" si="11"/>
        <v>84</v>
      </c>
      <c r="B88" s="8" t="s">
        <v>222</v>
      </c>
      <c r="C88" s="8" t="s">
        <v>223</v>
      </c>
      <c r="D88" s="8" t="s">
        <v>327</v>
      </c>
      <c r="E88" s="11" t="s">
        <v>224</v>
      </c>
      <c r="F88" s="386">
        <f>VLOOKUP($E88,'2015 Appr staffing table'!$D:$K, F$1, FALSE)</f>
        <v>0</v>
      </c>
      <c r="G88" s="386">
        <f>VLOOKUP($E88,'2015 Appr staffing table'!$D:$K, G$1, FALSE)</f>
        <v>0</v>
      </c>
      <c r="H88" s="386">
        <f>VLOOKUP($E88,'2015 Appr staffing table'!$D:$K, H$1, FALSE)</f>
        <v>1</v>
      </c>
      <c r="I88" s="386">
        <f>VLOOKUP($E88,'2015 Appr staffing table'!$D:$K, I$1, FALSE)</f>
        <v>1</v>
      </c>
      <c r="J88" s="386">
        <f>VLOOKUP($E88,'2015 Appr staffing table'!$D:$K, J$1, FALSE)</f>
        <v>0</v>
      </c>
      <c r="K88" s="386">
        <f t="shared" si="12"/>
        <v>2</v>
      </c>
      <c r="L88" s="386">
        <f>VLOOKUP($E88,'2015 Appr staffing table'!$D:$K, L$1, FALSE)</f>
        <v>3</v>
      </c>
      <c r="M88" s="310">
        <f>VLOOKUP($E88,'2015 Appr staffing table'!$D:$S, 15, FALSE)</f>
        <v>454240.39511426864</v>
      </c>
      <c r="N88" s="311">
        <f>VLOOKUP($E88,'2015 Appr staffing table'!$D:$S, 16, FALSE)</f>
        <v>83600.068623117477</v>
      </c>
      <c r="O88" s="123"/>
      <c r="P88" s="123"/>
      <c r="Q88" s="90">
        <v>1500</v>
      </c>
      <c r="R88" s="88">
        <v>13000</v>
      </c>
      <c r="S88" s="89">
        <v>80000</v>
      </c>
      <c r="T88" s="89"/>
      <c r="U88" s="89"/>
      <c r="V88" s="89">
        <v>12000</v>
      </c>
      <c r="W88" s="89">
        <v>4000</v>
      </c>
      <c r="X88" s="89">
        <v>2800</v>
      </c>
      <c r="Y88" s="89">
        <v>3600</v>
      </c>
      <c r="Z88" s="89">
        <v>1000</v>
      </c>
      <c r="AA88" s="129">
        <f>1000+4000</f>
        <v>5000</v>
      </c>
      <c r="AB88" s="123">
        <v>700</v>
      </c>
      <c r="AC88" s="181"/>
      <c r="AD88" s="184"/>
      <c r="AE88" s="184"/>
      <c r="AF88" s="184"/>
      <c r="AG88" s="420"/>
      <c r="AH88" s="10">
        <f t="shared" si="8"/>
        <v>539340.46373738616</v>
      </c>
      <c r="AI88" s="9">
        <f t="shared" si="9"/>
        <v>122100</v>
      </c>
      <c r="AJ88" s="202">
        <f t="shared" si="10"/>
        <v>661440.46373738616</v>
      </c>
    </row>
    <row r="89" spans="1:36" x14ac:dyDescent="0.3">
      <c r="A89" s="160">
        <f t="shared" si="11"/>
        <v>85</v>
      </c>
      <c r="B89" s="8" t="s">
        <v>225</v>
      </c>
      <c r="C89" s="8" t="s">
        <v>226</v>
      </c>
      <c r="D89" s="8" t="s">
        <v>328</v>
      </c>
      <c r="E89" s="11" t="s">
        <v>227</v>
      </c>
      <c r="F89" s="386">
        <f>VLOOKUP($E89,'2015 Appr staffing table'!$D:$K, F$1, FALSE)</f>
        <v>0</v>
      </c>
      <c r="G89" s="386">
        <f>VLOOKUP($E89,'2015 Appr staffing table'!$D:$K, G$1, FALSE)</f>
        <v>0</v>
      </c>
      <c r="H89" s="386">
        <f>VLOOKUP($E89,'2015 Appr staffing table'!$D:$K, H$1, FALSE)</f>
        <v>1</v>
      </c>
      <c r="I89" s="386">
        <f>VLOOKUP($E89,'2015 Appr staffing table'!$D:$K, I$1, FALSE)</f>
        <v>0</v>
      </c>
      <c r="J89" s="386">
        <f>VLOOKUP($E89,'2015 Appr staffing table'!$D:$K, J$1, FALSE)</f>
        <v>0</v>
      </c>
      <c r="K89" s="386">
        <f t="shared" si="12"/>
        <v>1</v>
      </c>
      <c r="L89" s="386">
        <f>VLOOKUP($E89,'2015 Appr staffing table'!$D:$K, L$1, FALSE)</f>
        <v>3</v>
      </c>
      <c r="M89" s="310">
        <f>VLOOKUP($E89,'2015 Appr staffing table'!$D:$S, 15, FALSE)</f>
        <v>191866.63044002504</v>
      </c>
      <c r="N89" s="311">
        <f>VLOOKUP($E89,'2015 Appr staffing table'!$D:$S, 16, FALSE)</f>
        <v>190013.45194845556</v>
      </c>
      <c r="O89" s="123"/>
      <c r="P89" s="123"/>
      <c r="Q89" s="90">
        <v>1500</v>
      </c>
      <c r="R89" s="88">
        <v>5700</v>
      </c>
      <c r="S89" s="89">
        <f>29000+7000</f>
        <v>36000</v>
      </c>
      <c r="T89" s="89"/>
      <c r="U89" s="89"/>
      <c r="V89" s="89">
        <v>15000</v>
      </c>
      <c r="W89" s="89">
        <v>4700</v>
      </c>
      <c r="X89" s="89">
        <v>4000</v>
      </c>
      <c r="Y89" s="89">
        <v>1600</v>
      </c>
      <c r="Z89" s="89">
        <v>1000</v>
      </c>
      <c r="AA89" s="89">
        <v>1000</v>
      </c>
      <c r="AB89" s="123">
        <v>1000</v>
      </c>
      <c r="AC89" s="181"/>
      <c r="AD89" s="184"/>
      <c r="AE89" s="184"/>
      <c r="AF89" s="184"/>
      <c r="AG89" s="420"/>
      <c r="AH89" s="10">
        <f t="shared" si="8"/>
        <v>383380.0823884806</v>
      </c>
      <c r="AI89" s="9">
        <f t="shared" si="9"/>
        <v>70000</v>
      </c>
      <c r="AJ89" s="202">
        <f t="shared" si="10"/>
        <v>453380.0823884806</v>
      </c>
    </row>
    <row r="90" spans="1:36" x14ac:dyDescent="0.3">
      <c r="A90" s="160">
        <f t="shared" si="11"/>
        <v>86</v>
      </c>
      <c r="B90" s="117" t="s">
        <v>398</v>
      </c>
      <c r="C90" s="8" t="s">
        <v>228</v>
      </c>
      <c r="D90" s="8" t="s">
        <v>327</v>
      </c>
      <c r="E90" s="11" t="s">
        <v>229</v>
      </c>
      <c r="F90" s="386">
        <f>VLOOKUP($E90,'2015 Appr staffing table'!$D:$K, F$1, FALSE)</f>
        <v>0</v>
      </c>
      <c r="G90" s="386">
        <f>VLOOKUP($E90,'2015 Appr staffing table'!$D:$K, G$1, FALSE)</f>
        <v>0</v>
      </c>
      <c r="H90" s="386">
        <f>VLOOKUP($E90,'2015 Appr staffing table'!$D:$K, H$1, FALSE)</f>
        <v>2</v>
      </c>
      <c r="I90" s="386">
        <f>VLOOKUP($E90,'2015 Appr staffing table'!$D:$K, I$1, FALSE)</f>
        <v>3</v>
      </c>
      <c r="J90" s="386">
        <f>VLOOKUP($E90,'2015 Appr staffing table'!$D:$K, J$1, FALSE)</f>
        <v>0</v>
      </c>
      <c r="K90" s="386">
        <f t="shared" si="12"/>
        <v>5</v>
      </c>
      <c r="L90" s="386">
        <f>VLOOKUP($E90,'2015 Appr staffing table'!$D:$K, L$1, FALSE)</f>
        <v>4</v>
      </c>
      <c r="M90" s="310">
        <f>VLOOKUP($E90,'2015 Appr staffing table'!$D:$S, 15, FALSE)</f>
        <v>850545.76351786195</v>
      </c>
      <c r="N90" s="311">
        <f>VLOOKUP($E90,'2015 Appr staffing table'!$D:$S, 16, FALSE)</f>
        <v>90127.071601416843</v>
      </c>
      <c r="O90" s="123"/>
      <c r="P90" s="123"/>
      <c r="Q90" s="90">
        <v>2000</v>
      </c>
      <c r="R90" s="88">
        <v>22000</v>
      </c>
      <c r="S90" s="89">
        <v>61000</v>
      </c>
      <c r="T90" s="89"/>
      <c r="U90" s="118">
        <v>8000</v>
      </c>
      <c r="V90" s="89">
        <v>20000</v>
      </c>
      <c r="W90" s="89">
        <v>6000</v>
      </c>
      <c r="X90" s="89">
        <v>7000</v>
      </c>
      <c r="Y90" s="89">
        <v>4000</v>
      </c>
      <c r="Z90" s="89">
        <v>1000</v>
      </c>
      <c r="AA90" s="89">
        <v>1000</v>
      </c>
      <c r="AB90" s="123">
        <v>500</v>
      </c>
      <c r="AC90" s="181"/>
      <c r="AD90" s="184"/>
      <c r="AE90" s="184"/>
      <c r="AF90" s="184"/>
      <c r="AG90" s="420"/>
      <c r="AH90" s="10">
        <f t="shared" si="8"/>
        <v>942672.83511927875</v>
      </c>
      <c r="AI90" s="9">
        <f t="shared" si="9"/>
        <v>130500</v>
      </c>
      <c r="AJ90" s="202">
        <f t="shared" si="10"/>
        <v>1073172.8351192786</v>
      </c>
    </row>
    <row r="91" spans="1:36" x14ac:dyDescent="0.3">
      <c r="A91" s="160">
        <f t="shared" si="11"/>
        <v>87</v>
      </c>
      <c r="B91" s="8" t="s">
        <v>295</v>
      </c>
      <c r="C91" s="8" t="s">
        <v>296</v>
      </c>
      <c r="D91" s="8" t="s">
        <v>329</v>
      </c>
      <c r="E91" s="11" t="s">
        <v>297</v>
      </c>
      <c r="F91" s="386">
        <f>VLOOKUP($E91,'2015 Appr staffing table'!$D:$K, F$1, FALSE)</f>
        <v>0</v>
      </c>
      <c r="G91" s="386">
        <f>VLOOKUP($E91,'2015 Appr staffing table'!$D:$K, G$1, FALSE)</f>
        <v>1</v>
      </c>
      <c r="H91" s="386">
        <f>VLOOKUP($E91,'2015 Appr staffing table'!$D:$K, H$1, FALSE)</f>
        <v>5</v>
      </c>
      <c r="I91" s="386">
        <f>VLOOKUP($E91,'2015 Appr staffing table'!$D:$K, I$1, FALSE)</f>
        <v>3</v>
      </c>
      <c r="J91" s="386">
        <f>VLOOKUP($E91,'2015 Appr staffing table'!$D:$K, J$1, FALSE)</f>
        <v>1</v>
      </c>
      <c r="K91" s="386">
        <f t="shared" si="12"/>
        <v>10</v>
      </c>
      <c r="L91" s="386">
        <f>VLOOKUP($E91,'2015 Appr staffing table'!$D:$K, L$1, FALSE)</f>
        <v>7</v>
      </c>
      <c r="M91" s="310">
        <f>VLOOKUP($E91,'2015 Appr staffing table'!$D:$S, 15, FALSE)</f>
        <v>2327095.4891299079</v>
      </c>
      <c r="N91" s="311">
        <f>VLOOKUP($E91,'2015 Appr staffing table'!$D:$S, 16, FALSE)</f>
        <v>315182.69059455523</v>
      </c>
      <c r="O91" s="123"/>
      <c r="P91" s="123"/>
      <c r="Q91" s="90">
        <v>3500</v>
      </c>
      <c r="R91" s="88">
        <v>30000</v>
      </c>
      <c r="S91" s="89">
        <v>100000</v>
      </c>
      <c r="T91" s="89"/>
      <c r="U91" s="89"/>
      <c r="V91" s="311">
        <v>36000</v>
      </c>
      <c r="W91" s="89">
        <v>10000</v>
      </c>
      <c r="X91" s="89">
        <v>15000</v>
      </c>
      <c r="Y91" s="89">
        <v>5000</v>
      </c>
      <c r="Z91" s="89">
        <v>1000</v>
      </c>
      <c r="AA91" s="89">
        <v>2000</v>
      </c>
      <c r="AB91" s="123">
        <v>1000</v>
      </c>
      <c r="AC91" s="181"/>
      <c r="AD91" s="184"/>
      <c r="AE91" s="184"/>
      <c r="AF91" s="184"/>
      <c r="AG91" s="420"/>
      <c r="AH91" s="10">
        <f t="shared" si="8"/>
        <v>2645778.1797244633</v>
      </c>
      <c r="AI91" s="9">
        <f t="shared" si="9"/>
        <v>200000</v>
      </c>
      <c r="AJ91" s="202">
        <f t="shared" si="10"/>
        <v>2845778.1797244633</v>
      </c>
    </row>
    <row r="92" spans="1:36" x14ac:dyDescent="0.3">
      <c r="A92" s="160">
        <f t="shared" si="11"/>
        <v>88</v>
      </c>
      <c r="B92" s="8" t="s">
        <v>230</v>
      </c>
      <c r="C92" s="8" t="s">
        <v>231</v>
      </c>
      <c r="D92" s="8" t="s">
        <v>328</v>
      </c>
      <c r="E92" s="11" t="s">
        <v>232</v>
      </c>
      <c r="F92" s="386">
        <f>VLOOKUP($E92,'2015 Appr staffing table'!$D:$K, F$1, FALSE)</f>
        <v>0</v>
      </c>
      <c r="G92" s="386">
        <f>VLOOKUP($E92,'2015 Appr staffing table'!$D:$K, G$1, FALSE)</f>
        <v>0</v>
      </c>
      <c r="H92" s="386">
        <f>VLOOKUP($E92,'2015 Appr staffing table'!$D:$K, H$1, FALSE)</f>
        <v>1</v>
      </c>
      <c r="I92" s="386">
        <f>VLOOKUP($E92,'2015 Appr staffing table'!$D:$K, I$1, FALSE)</f>
        <v>0</v>
      </c>
      <c r="J92" s="386">
        <f>VLOOKUP($E92,'2015 Appr staffing table'!$D:$K, J$1, FALSE)</f>
        <v>0</v>
      </c>
      <c r="K92" s="386">
        <f t="shared" si="12"/>
        <v>1</v>
      </c>
      <c r="L92" s="386">
        <f>VLOOKUP($E92,'2015 Appr staffing table'!$D:$K, L$1, FALSE)</f>
        <v>2</v>
      </c>
      <c r="M92" s="310">
        <f>VLOOKUP($E92,'2015 Appr staffing table'!$D:$S, 15, FALSE)</f>
        <v>214878.33916814165</v>
      </c>
      <c r="N92" s="311">
        <f>VLOOKUP($E92,'2015 Appr staffing table'!$D:$S, 16, FALSE)</f>
        <v>64317.581899250064</v>
      </c>
      <c r="O92" s="123"/>
      <c r="P92" s="395"/>
      <c r="Q92" s="90">
        <v>1500</v>
      </c>
      <c r="R92" s="88">
        <v>18000</v>
      </c>
      <c r="S92" s="89">
        <v>70000</v>
      </c>
      <c r="T92" s="89"/>
      <c r="U92" s="89"/>
      <c r="V92" s="89">
        <v>10000</v>
      </c>
      <c r="W92" s="89">
        <v>3000</v>
      </c>
      <c r="X92" s="89">
        <v>5000</v>
      </c>
      <c r="Y92" s="89">
        <v>2000</v>
      </c>
      <c r="Z92" s="89">
        <v>500</v>
      </c>
      <c r="AA92" s="89">
        <v>500</v>
      </c>
      <c r="AB92" s="123">
        <v>1000</v>
      </c>
      <c r="AC92" s="181"/>
      <c r="AD92" s="184"/>
      <c r="AE92" s="184"/>
      <c r="AF92" s="184"/>
      <c r="AG92" s="420"/>
      <c r="AH92" s="10">
        <f t="shared" si="8"/>
        <v>280695.9210673917</v>
      </c>
      <c r="AI92" s="9">
        <f t="shared" si="9"/>
        <v>110000</v>
      </c>
      <c r="AJ92" s="202">
        <f t="shared" si="10"/>
        <v>390695.9210673917</v>
      </c>
    </row>
    <row r="93" spans="1:36" x14ac:dyDescent="0.3">
      <c r="A93" s="160">
        <f t="shared" si="11"/>
        <v>89</v>
      </c>
      <c r="B93" s="8" t="s">
        <v>233</v>
      </c>
      <c r="C93" s="8" t="s">
        <v>234</v>
      </c>
      <c r="D93" s="117" t="s">
        <v>423</v>
      </c>
      <c r="E93" s="11" t="s">
        <v>235</v>
      </c>
      <c r="F93" s="386">
        <f>VLOOKUP($E93,'2015 Appr staffing table'!$D:$K, F$1, FALSE)</f>
        <v>0</v>
      </c>
      <c r="G93" s="386">
        <f>VLOOKUP($E93,'2015 Appr staffing table'!$D:$K, G$1, FALSE)</f>
        <v>0</v>
      </c>
      <c r="H93" s="386">
        <f>VLOOKUP($E93,'2015 Appr staffing table'!$D:$K, H$1, FALSE)</f>
        <v>1</v>
      </c>
      <c r="I93" s="386">
        <f>VLOOKUP($E93,'2015 Appr staffing table'!$D:$K, I$1, FALSE)</f>
        <v>0</v>
      </c>
      <c r="J93" s="386">
        <f>VLOOKUP($E93,'2015 Appr staffing table'!$D:$K, J$1, FALSE)</f>
        <v>0</v>
      </c>
      <c r="K93" s="386">
        <f t="shared" si="12"/>
        <v>1</v>
      </c>
      <c r="L93" s="386">
        <f>VLOOKUP($E93,'2015 Appr staffing table'!$D:$K, L$1, FALSE)</f>
        <v>3</v>
      </c>
      <c r="M93" s="310">
        <f>VLOOKUP($E93,'2015 Appr staffing table'!$D:$S, 15, FALSE)</f>
        <v>195494.70757558334</v>
      </c>
      <c r="N93" s="311">
        <f>VLOOKUP($E93,'2015 Appr staffing table'!$D:$S, 16, FALSE)</f>
        <v>78787.647461555141</v>
      </c>
      <c r="O93" s="123"/>
      <c r="P93" s="123"/>
      <c r="Q93" s="90">
        <v>1500</v>
      </c>
      <c r="R93" s="88">
        <v>12000</v>
      </c>
      <c r="S93" s="89">
        <v>12000</v>
      </c>
      <c r="T93" s="89"/>
      <c r="U93" s="89"/>
      <c r="V93" s="89">
        <v>14000</v>
      </c>
      <c r="W93" s="89">
        <v>2000</v>
      </c>
      <c r="X93" s="89">
        <v>4000</v>
      </c>
      <c r="Y93" s="89">
        <v>1000</v>
      </c>
      <c r="Z93" s="89">
        <v>1000</v>
      </c>
      <c r="AA93" s="89">
        <f>1000+500</f>
        <v>1500</v>
      </c>
      <c r="AB93" s="123">
        <v>3300</v>
      </c>
      <c r="AC93" s="181"/>
      <c r="AD93" s="184"/>
      <c r="AE93" s="184"/>
      <c r="AF93" s="184"/>
      <c r="AG93" s="420"/>
      <c r="AH93" s="10">
        <f t="shared" si="8"/>
        <v>275782.35503713845</v>
      </c>
      <c r="AI93" s="9">
        <f t="shared" si="9"/>
        <v>50800</v>
      </c>
      <c r="AJ93" s="203">
        <f t="shared" si="10"/>
        <v>326582.35503713845</v>
      </c>
    </row>
    <row r="94" spans="1:36" x14ac:dyDescent="0.3">
      <c r="A94" s="160">
        <f t="shared" si="11"/>
        <v>90</v>
      </c>
      <c r="B94" s="117" t="s">
        <v>399</v>
      </c>
      <c r="C94" s="8" t="s">
        <v>236</v>
      </c>
      <c r="D94" s="8" t="s">
        <v>327</v>
      </c>
      <c r="E94" s="11" t="s">
        <v>237</v>
      </c>
      <c r="F94" s="386">
        <f>VLOOKUP($E94,'2015 Appr staffing table'!$D:$K, F$1, FALSE)</f>
        <v>0</v>
      </c>
      <c r="G94" s="386">
        <f>VLOOKUP($E94,'2015 Appr staffing table'!$D:$K, G$1, FALSE)</f>
        <v>0</v>
      </c>
      <c r="H94" s="386">
        <f>VLOOKUP($E94,'2015 Appr staffing table'!$D:$K, H$1, FALSE)</f>
        <v>0</v>
      </c>
      <c r="I94" s="386">
        <f>VLOOKUP($E94,'2015 Appr staffing table'!$D:$K, I$1, FALSE)</f>
        <v>0</v>
      </c>
      <c r="J94" s="386">
        <f>VLOOKUP($E94,'2015 Appr staffing table'!$D:$K, J$1, FALSE)</f>
        <v>0</v>
      </c>
      <c r="K94" s="386">
        <f t="shared" si="12"/>
        <v>0</v>
      </c>
      <c r="L94" s="386">
        <f>VLOOKUP($E94,'2015 Appr staffing table'!$D:$K, L$1, FALSE)</f>
        <v>2</v>
      </c>
      <c r="M94" s="310">
        <f>VLOOKUP($E94,'2015 Appr staffing table'!$D:$S, 15, FALSE)</f>
        <v>0</v>
      </c>
      <c r="N94" s="311">
        <f>VLOOKUP($E94,'2015 Appr staffing table'!$D:$S, 16, FALSE)</f>
        <v>44894.519054300574</v>
      </c>
      <c r="O94" s="123"/>
      <c r="P94" s="123"/>
      <c r="Q94" s="90">
        <v>1000</v>
      </c>
      <c r="R94" s="88">
        <v>5000</v>
      </c>
      <c r="S94" s="89">
        <v>16000</v>
      </c>
      <c r="T94" s="89"/>
      <c r="U94" s="89"/>
      <c r="V94" s="89">
        <v>2000</v>
      </c>
      <c r="W94" s="89">
        <v>700</v>
      </c>
      <c r="X94" s="89">
        <v>500</v>
      </c>
      <c r="Y94" s="89">
        <v>300</v>
      </c>
      <c r="Z94" s="89">
        <v>1000</v>
      </c>
      <c r="AA94" s="89">
        <v>0</v>
      </c>
      <c r="AB94" s="123">
        <v>700</v>
      </c>
      <c r="AC94" s="181"/>
      <c r="AD94" s="184"/>
      <c r="AE94" s="184"/>
      <c r="AF94" s="184"/>
      <c r="AG94" s="420"/>
      <c r="AH94" s="10">
        <f t="shared" si="8"/>
        <v>45894.519054300574</v>
      </c>
      <c r="AI94" s="9">
        <f t="shared" si="9"/>
        <v>26200</v>
      </c>
      <c r="AJ94" s="202">
        <f t="shared" si="10"/>
        <v>72094.519054300574</v>
      </c>
    </row>
    <row r="95" spans="1:36" x14ac:dyDescent="0.3">
      <c r="A95" s="160">
        <f t="shared" si="11"/>
        <v>91</v>
      </c>
      <c r="B95" s="8" t="s">
        <v>238</v>
      </c>
      <c r="C95" s="8" t="s">
        <v>607</v>
      </c>
      <c r="D95" s="8" t="s">
        <v>329</v>
      </c>
      <c r="E95" s="11" t="s">
        <v>240</v>
      </c>
      <c r="F95" s="386">
        <f>VLOOKUP($E95,'2015 Appr staffing table'!$D:$K, F$1, FALSE)</f>
        <v>0</v>
      </c>
      <c r="G95" s="386">
        <f>VLOOKUP($E95,'2015 Appr staffing table'!$D:$K, G$1, FALSE)</f>
        <v>0</v>
      </c>
      <c r="H95" s="386">
        <f>VLOOKUP($E95,'2015 Appr staffing table'!$D:$K, H$1, FALSE)</f>
        <v>1</v>
      </c>
      <c r="I95" s="386">
        <f>VLOOKUP($E95,'2015 Appr staffing table'!$D:$K, I$1, FALSE)</f>
        <v>0</v>
      </c>
      <c r="J95" s="386">
        <f>VLOOKUP($E95,'2015 Appr staffing table'!$D:$K, J$1, FALSE)</f>
        <v>0</v>
      </c>
      <c r="K95" s="386">
        <f t="shared" si="12"/>
        <v>1</v>
      </c>
      <c r="L95" s="386">
        <f>VLOOKUP($E95,'2015 Appr staffing table'!$D:$K, L$1, FALSE)</f>
        <v>2</v>
      </c>
      <c r="M95" s="310">
        <f>VLOOKUP($E95,'2015 Appr staffing table'!$D:$S, 15, FALSE)</f>
        <v>191946.97656351666</v>
      </c>
      <c r="N95" s="311">
        <f>VLOOKUP($E95,'2015 Appr staffing table'!$D:$S, 16, FALSE)</f>
        <v>144196.59386941878</v>
      </c>
      <c r="O95" s="123"/>
      <c r="P95" s="123"/>
      <c r="Q95" s="90">
        <v>1000</v>
      </c>
      <c r="R95" s="88">
        <v>10000</v>
      </c>
      <c r="S95" s="89">
        <f>10100-600</f>
        <v>9500</v>
      </c>
      <c r="T95" s="89"/>
      <c r="U95" s="89"/>
      <c r="V95" s="89">
        <v>6000</v>
      </c>
      <c r="W95" s="89">
        <v>1200</v>
      </c>
      <c r="X95" s="89">
        <v>400</v>
      </c>
      <c r="Y95" s="89">
        <v>700</v>
      </c>
      <c r="Z95" s="89">
        <v>1000</v>
      </c>
      <c r="AA95" s="89">
        <v>500</v>
      </c>
      <c r="AB95" s="123">
        <v>500</v>
      </c>
      <c r="AC95" s="181"/>
      <c r="AD95" s="184"/>
      <c r="AE95" s="184"/>
      <c r="AF95" s="184"/>
      <c r="AG95" s="420"/>
      <c r="AH95" s="10">
        <f t="shared" si="8"/>
        <v>337143.57043293543</v>
      </c>
      <c r="AI95" s="9">
        <f t="shared" si="9"/>
        <v>29800</v>
      </c>
      <c r="AJ95" s="202">
        <f t="shared" si="10"/>
        <v>366943.57043293543</v>
      </c>
    </row>
    <row r="96" spans="1:36" x14ac:dyDescent="0.3">
      <c r="A96" s="160">
        <f t="shared" si="11"/>
        <v>92</v>
      </c>
      <c r="B96" s="8" t="s">
        <v>241</v>
      </c>
      <c r="C96" s="8" t="s">
        <v>242</v>
      </c>
      <c r="D96" s="117" t="s">
        <v>423</v>
      </c>
      <c r="E96" s="11" t="s">
        <v>243</v>
      </c>
      <c r="F96" s="386">
        <f>VLOOKUP($E96,'2015 Appr staffing table'!$D:$K, F$1, FALSE)</f>
        <v>0</v>
      </c>
      <c r="G96" s="386">
        <f>VLOOKUP($E96,'2015 Appr staffing table'!$D:$K, G$1, FALSE)</f>
        <v>0</v>
      </c>
      <c r="H96" s="386">
        <f>VLOOKUP($E96,'2015 Appr staffing table'!$D:$K, H$1, FALSE)</f>
        <v>2</v>
      </c>
      <c r="I96" s="386">
        <f>VLOOKUP($E96,'2015 Appr staffing table'!$D:$K, I$1, FALSE)</f>
        <v>2</v>
      </c>
      <c r="J96" s="386">
        <f>VLOOKUP($E96,'2015 Appr staffing table'!$D:$K, J$1, FALSE)</f>
        <v>0</v>
      </c>
      <c r="K96" s="386">
        <f t="shared" si="12"/>
        <v>4</v>
      </c>
      <c r="L96" s="386">
        <f>VLOOKUP($E96,'2015 Appr staffing table'!$D:$K, L$1, FALSE)</f>
        <v>3</v>
      </c>
      <c r="M96" s="310">
        <f>VLOOKUP($E96,'2015 Appr staffing table'!$D:$S, 15, FALSE)</f>
        <v>704460.00918074115</v>
      </c>
      <c r="N96" s="311">
        <f>VLOOKUP($E96,'2015 Appr staffing table'!$D:$S, 16, FALSE)</f>
        <v>98689.848302815371</v>
      </c>
      <c r="O96" s="123"/>
      <c r="P96" s="123"/>
      <c r="Q96" s="90">
        <v>1500</v>
      </c>
      <c r="R96" s="88">
        <v>10000</v>
      </c>
      <c r="S96" s="89">
        <v>40500</v>
      </c>
      <c r="T96" s="89"/>
      <c r="U96" s="89"/>
      <c r="V96" s="89">
        <v>9000</v>
      </c>
      <c r="W96" s="89">
        <v>1500</v>
      </c>
      <c r="X96" s="89">
        <f>3500+1500</f>
        <v>5000</v>
      </c>
      <c r="Y96" s="89">
        <v>1000</v>
      </c>
      <c r="Z96" s="89">
        <v>1000</v>
      </c>
      <c r="AA96" s="89">
        <v>1000</v>
      </c>
      <c r="AB96" s="123">
        <v>1000</v>
      </c>
      <c r="AC96" s="181"/>
      <c r="AD96" s="184"/>
      <c r="AE96" s="184"/>
      <c r="AF96" s="184"/>
      <c r="AG96" s="420"/>
      <c r="AH96" s="10">
        <f t="shared" si="8"/>
        <v>804649.85748355649</v>
      </c>
      <c r="AI96" s="9">
        <f t="shared" si="9"/>
        <v>70000</v>
      </c>
      <c r="AJ96" s="202">
        <f t="shared" si="10"/>
        <v>874649.85748355649</v>
      </c>
    </row>
    <row r="97" spans="1:36" x14ac:dyDescent="0.3">
      <c r="A97" s="160">
        <f t="shared" si="11"/>
        <v>93</v>
      </c>
      <c r="B97" s="117" t="s">
        <v>336</v>
      </c>
      <c r="C97" s="8" t="s">
        <v>244</v>
      </c>
      <c r="D97" s="8" t="s">
        <v>328</v>
      </c>
      <c r="E97" s="11" t="s">
        <v>245</v>
      </c>
      <c r="F97" s="386">
        <f>VLOOKUP($E97,'2015 Appr staffing table'!$D:$K, F$1, FALSE)</f>
        <v>0</v>
      </c>
      <c r="G97" s="386">
        <f>VLOOKUP($E97,'2015 Appr staffing table'!$D:$K, G$1, FALSE)</f>
        <v>0</v>
      </c>
      <c r="H97" s="386">
        <f>VLOOKUP($E97,'2015 Appr staffing table'!$D:$K, H$1, FALSE)</f>
        <v>1</v>
      </c>
      <c r="I97" s="386">
        <f>VLOOKUP($E97,'2015 Appr staffing table'!$D:$K, I$1, FALSE)</f>
        <v>0</v>
      </c>
      <c r="J97" s="386">
        <f>VLOOKUP($E97,'2015 Appr staffing table'!$D:$K, J$1, FALSE)</f>
        <v>0</v>
      </c>
      <c r="K97" s="386">
        <f t="shared" si="12"/>
        <v>1</v>
      </c>
      <c r="L97" s="386">
        <f>VLOOKUP($E97,'2015 Appr staffing table'!$D:$K, L$1, FALSE)</f>
        <v>2</v>
      </c>
      <c r="M97" s="310">
        <f>VLOOKUP($E97,'2015 Appr staffing table'!$D:$S, 15, FALSE)</f>
        <v>184587.8506117833</v>
      </c>
      <c r="N97" s="311">
        <f>VLOOKUP($E97,'2015 Appr staffing table'!$D:$S, 16, FALSE)</f>
        <v>200769.44635120904</v>
      </c>
      <c r="O97" s="123"/>
      <c r="P97" s="123"/>
      <c r="Q97" s="90">
        <v>1000</v>
      </c>
      <c r="R97" s="88">
        <v>9000</v>
      </c>
      <c r="S97" s="89">
        <v>13000</v>
      </c>
      <c r="T97" s="89"/>
      <c r="U97" s="89"/>
      <c r="V97" s="89">
        <v>6000</v>
      </c>
      <c r="W97" s="89">
        <v>1000</v>
      </c>
      <c r="X97" s="89">
        <v>1700</v>
      </c>
      <c r="Y97" s="89">
        <v>1000</v>
      </c>
      <c r="Z97" s="89">
        <v>1000</v>
      </c>
      <c r="AA97" s="89">
        <v>500</v>
      </c>
      <c r="AB97" s="123">
        <v>600</v>
      </c>
      <c r="AC97" s="181"/>
      <c r="AD97" s="184"/>
      <c r="AE97" s="184"/>
      <c r="AF97" s="184"/>
      <c r="AG97" s="420"/>
      <c r="AH97" s="10">
        <f t="shared" si="8"/>
        <v>386357.29696299235</v>
      </c>
      <c r="AI97" s="9">
        <f t="shared" si="9"/>
        <v>33800</v>
      </c>
      <c r="AJ97" s="202">
        <f t="shared" si="10"/>
        <v>420157.29696299235</v>
      </c>
    </row>
    <row r="98" spans="1:36" x14ac:dyDescent="0.3">
      <c r="A98" s="160">
        <f t="shared" si="11"/>
        <v>94</v>
      </c>
      <c r="B98" s="117" t="s">
        <v>381</v>
      </c>
      <c r="C98" s="8" t="s">
        <v>246</v>
      </c>
      <c r="D98" s="117" t="s">
        <v>423</v>
      </c>
      <c r="E98" s="11" t="s">
        <v>247</v>
      </c>
      <c r="F98" s="386">
        <f>VLOOKUP($E98,'2015 Appr staffing table'!$D:$K, F$1, FALSE)</f>
        <v>0</v>
      </c>
      <c r="G98" s="386">
        <f>VLOOKUP($E98,'2015 Appr staffing table'!$D:$K, G$1, FALSE)</f>
        <v>1</v>
      </c>
      <c r="H98" s="386">
        <f>VLOOKUP($E98,'2015 Appr staffing table'!$D:$K, H$1, FALSE)</f>
        <v>1</v>
      </c>
      <c r="I98" s="386">
        <f>VLOOKUP($E98,'2015 Appr staffing table'!$D:$K, I$1, FALSE)</f>
        <v>1</v>
      </c>
      <c r="J98" s="386">
        <f>VLOOKUP($E98,'2015 Appr staffing table'!$D:$K, J$1, FALSE)</f>
        <v>0</v>
      </c>
      <c r="K98" s="386">
        <f t="shared" si="12"/>
        <v>3</v>
      </c>
      <c r="L98" s="386">
        <f>VLOOKUP($E98,'2015 Appr staffing table'!$D:$K, L$1, FALSE)</f>
        <v>3</v>
      </c>
      <c r="M98" s="310">
        <f>VLOOKUP($E98,'2015 Appr staffing table'!$D:$S, 15, FALSE)</f>
        <v>682003.67600917537</v>
      </c>
      <c r="N98" s="311">
        <f>VLOOKUP($E98,'2015 Appr staffing table'!$D:$S, 16, FALSE)</f>
        <v>45428.709137551916</v>
      </c>
      <c r="O98" s="123"/>
      <c r="P98" s="123"/>
      <c r="Q98" s="90">
        <v>1500</v>
      </c>
      <c r="R98" s="88">
        <v>8000</v>
      </c>
      <c r="S98" s="89">
        <v>18000</v>
      </c>
      <c r="T98" s="89"/>
      <c r="U98" s="89"/>
      <c r="V98" s="89">
        <v>10000</v>
      </c>
      <c r="W98" s="89">
        <v>3000</v>
      </c>
      <c r="X98" s="89">
        <v>4500</v>
      </c>
      <c r="Y98" s="89">
        <v>1500</v>
      </c>
      <c r="Z98" s="89">
        <v>1000</v>
      </c>
      <c r="AA98" s="89">
        <v>1500</v>
      </c>
      <c r="AB98" s="123">
        <v>1100</v>
      </c>
      <c r="AC98" s="181"/>
      <c r="AD98" s="184"/>
      <c r="AE98" s="184"/>
      <c r="AF98" s="184"/>
      <c r="AG98" s="420"/>
      <c r="AH98" s="10">
        <f t="shared" si="8"/>
        <v>728932.38514672732</v>
      </c>
      <c r="AI98" s="9">
        <f t="shared" si="9"/>
        <v>48600</v>
      </c>
      <c r="AJ98" s="202">
        <f t="shared" si="10"/>
        <v>777532.38514672732</v>
      </c>
    </row>
    <row r="99" spans="1:36" x14ac:dyDescent="0.3">
      <c r="A99" s="160">
        <f t="shared" si="11"/>
        <v>95</v>
      </c>
      <c r="B99" s="8" t="s">
        <v>248</v>
      </c>
      <c r="C99" s="8" t="s">
        <v>249</v>
      </c>
      <c r="D99" s="117" t="s">
        <v>423</v>
      </c>
      <c r="E99" s="11" t="s">
        <v>250</v>
      </c>
      <c r="F99" s="386">
        <f>VLOOKUP($E99,'2015 Appr staffing table'!$D:$K, F$1, FALSE)</f>
        <v>0</v>
      </c>
      <c r="G99" s="386">
        <f>VLOOKUP($E99,'2015 Appr staffing table'!$D:$K, G$1, FALSE)</f>
        <v>1</v>
      </c>
      <c r="H99" s="386">
        <f>VLOOKUP($E99,'2015 Appr staffing table'!$D:$K, H$1, FALSE)</f>
        <v>9</v>
      </c>
      <c r="I99" s="386">
        <f>VLOOKUP($E99,'2015 Appr staffing table'!$D:$K, I$1, FALSE)</f>
        <v>9</v>
      </c>
      <c r="J99" s="386">
        <f>VLOOKUP($E99,'2015 Appr staffing table'!$D:$K, J$1, FALSE)</f>
        <v>1</v>
      </c>
      <c r="K99" s="386">
        <f t="shared" si="12"/>
        <v>20</v>
      </c>
      <c r="L99" s="386">
        <f>VLOOKUP($E99,'2015 Appr staffing table'!$D:$K, L$1, FALSE)</f>
        <v>13</v>
      </c>
      <c r="M99" s="310">
        <f>VLOOKUP($E99,'2015 Appr staffing table'!$D:$S, 15, FALSE)</f>
        <v>4659950.9059555819</v>
      </c>
      <c r="N99" s="311">
        <f>VLOOKUP($E99,'2015 Appr staffing table'!$D:$S, 16, FALSE)</f>
        <v>275681.67051907006</v>
      </c>
      <c r="O99" s="123"/>
      <c r="P99" s="123"/>
      <c r="Q99" s="90">
        <v>7000</v>
      </c>
      <c r="R99" s="128">
        <v>200000</v>
      </c>
      <c r="S99" s="129">
        <v>226800</v>
      </c>
      <c r="T99" s="129"/>
      <c r="U99" s="129"/>
      <c r="V99" s="129">
        <v>130000</v>
      </c>
      <c r="W99" s="129">
        <v>15000</v>
      </c>
      <c r="X99" s="129">
        <v>30000</v>
      </c>
      <c r="Y99" s="129">
        <v>20000</v>
      </c>
      <c r="Z99" s="129">
        <v>1000</v>
      </c>
      <c r="AA99" s="129">
        <v>9500</v>
      </c>
      <c r="AB99" s="130">
        <v>15000</v>
      </c>
      <c r="AC99" s="183"/>
      <c r="AD99" s="184"/>
      <c r="AE99" s="184"/>
      <c r="AF99" s="184"/>
      <c r="AG99" s="420"/>
      <c r="AH99" s="10">
        <f t="shared" si="8"/>
        <v>4942632.5764746517</v>
      </c>
      <c r="AI99" s="9">
        <f t="shared" si="9"/>
        <v>647300</v>
      </c>
      <c r="AJ99" s="202">
        <f t="shared" si="10"/>
        <v>5589932.5764746517</v>
      </c>
    </row>
    <row r="100" spans="1:36" x14ac:dyDescent="0.3">
      <c r="A100" s="160">
        <f t="shared" si="11"/>
        <v>96</v>
      </c>
      <c r="B100" s="117" t="s">
        <v>382</v>
      </c>
      <c r="C100" s="8" t="s">
        <v>251</v>
      </c>
      <c r="D100" s="117" t="s">
        <v>423</v>
      </c>
      <c r="E100" s="11" t="s">
        <v>252</v>
      </c>
      <c r="F100" s="386">
        <f>VLOOKUP($E100,'2015 Appr staffing table'!$D:$K, F$1, FALSE)</f>
        <v>0</v>
      </c>
      <c r="G100" s="386">
        <f>VLOOKUP($E100,'2015 Appr staffing table'!$D:$K, G$1, FALSE)</f>
        <v>1</v>
      </c>
      <c r="H100" s="386">
        <f>VLOOKUP($E100,'2015 Appr staffing table'!$D:$K, H$1, FALSE)</f>
        <v>1</v>
      </c>
      <c r="I100" s="386">
        <f>VLOOKUP($E100,'2015 Appr staffing table'!$D:$K, I$1, FALSE)</f>
        <v>1</v>
      </c>
      <c r="J100" s="386">
        <f>VLOOKUP($E100,'2015 Appr staffing table'!$D:$K, J$1, FALSE)</f>
        <v>0</v>
      </c>
      <c r="K100" s="386">
        <f t="shared" si="12"/>
        <v>3</v>
      </c>
      <c r="L100" s="386">
        <f>VLOOKUP($E100,'2015 Appr staffing table'!$D:$K, L$1, FALSE)</f>
        <v>5</v>
      </c>
      <c r="M100" s="310">
        <f>VLOOKUP($E100,'2015 Appr staffing table'!$D:$S, 15, FALSE)</f>
        <v>499533.23591198097</v>
      </c>
      <c r="N100" s="311">
        <f>VLOOKUP($E100,'2015 Appr staffing table'!$D:$S, 16, FALSE)</f>
        <v>188342.65998805349</v>
      </c>
      <c r="O100" s="123"/>
      <c r="P100" s="123"/>
      <c r="Q100" s="90">
        <v>2500</v>
      </c>
      <c r="R100" s="88">
        <v>13000</v>
      </c>
      <c r="S100" s="129">
        <v>49100</v>
      </c>
      <c r="T100" s="113"/>
      <c r="U100" s="8"/>
      <c r="V100" s="89">
        <v>22000</v>
      </c>
      <c r="W100" s="89">
        <v>8000</v>
      </c>
      <c r="X100" s="89">
        <v>15000</v>
      </c>
      <c r="Y100" s="89">
        <v>3400</v>
      </c>
      <c r="Z100" s="89">
        <v>1000</v>
      </c>
      <c r="AA100" s="89">
        <f>1500</f>
        <v>1500</v>
      </c>
      <c r="AB100" s="123">
        <v>7000</v>
      </c>
      <c r="AC100" s="181"/>
      <c r="AD100" s="184"/>
      <c r="AE100" s="184"/>
      <c r="AF100" s="184"/>
      <c r="AG100" s="420"/>
      <c r="AH100" s="10">
        <f t="shared" si="8"/>
        <v>690375.89590003446</v>
      </c>
      <c r="AI100" s="9">
        <f t="shared" si="9"/>
        <v>120000</v>
      </c>
      <c r="AJ100" s="202">
        <f t="shared" si="10"/>
        <v>810375.89590003446</v>
      </c>
    </row>
    <row r="101" spans="1:36" x14ac:dyDescent="0.3">
      <c r="A101" s="160">
        <f t="shared" si="11"/>
        <v>97</v>
      </c>
      <c r="B101" s="117" t="s">
        <v>407</v>
      </c>
      <c r="C101" s="117" t="s">
        <v>353</v>
      </c>
      <c r="D101" s="117" t="s">
        <v>339</v>
      </c>
      <c r="E101" s="11" t="s">
        <v>351</v>
      </c>
      <c r="F101" s="386">
        <f>VLOOKUP($E101,'2015 Appr staffing table'!$D:$K, F$1, FALSE)</f>
        <v>1</v>
      </c>
      <c r="G101" s="386">
        <f>VLOOKUP($E101,'2015 Appr staffing table'!$D:$K, G$1, FALSE)</f>
        <v>0</v>
      </c>
      <c r="H101" s="386">
        <f>VLOOKUP($E101,'2015 Appr staffing table'!$D:$K, H$1, FALSE)</f>
        <v>3</v>
      </c>
      <c r="I101" s="386">
        <f>VLOOKUP($E101,'2015 Appr staffing table'!$D:$K, I$1, FALSE)</f>
        <v>2</v>
      </c>
      <c r="J101" s="386">
        <f>VLOOKUP($E101,'2015 Appr staffing table'!$D:$K, J$1, FALSE)</f>
        <v>0</v>
      </c>
      <c r="K101" s="386">
        <f t="shared" si="12"/>
        <v>6</v>
      </c>
      <c r="L101" s="386">
        <f>VLOOKUP($E101,'2015 Appr staffing table'!$D:$K, L$1, FALSE)</f>
        <v>5</v>
      </c>
      <c r="M101" s="310">
        <f>VLOOKUP($E101,'2015 Appr staffing table'!$D:$S, 15, FALSE)</f>
        <v>1589138.5215829881</v>
      </c>
      <c r="N101" s="311">
        <f>VLOOKUP($E101,'2015 Appr staffing table'!$D:$S, 16, FALSE)</f>
        <v>200563.13597048644</v>
      </c>
      <c r="O101" s="123"/>
      <c r="P101" s="123"/>
      <c r="Q101" s="90">
        <v>2000</v>
      </c>
      <c r="R101" s="88">
        <v>30000</v>
      </c>
      <c r="S101" s="89">
        <v>20500</v>
      </c>
      <c r="T101" s="89"/>
      <c r="U101" s="89"/>
      <c r="V101" s="89">
        <v>26000</v>
      </c>
      <c r="W101" s="89">
        <v>20000</v>
      </c>
      <c r="X101" s="89">
        <v>2000</v>
      </c>
      <c r="Y101" s="89">
        <v>5000</v>
      </c>
      <c r="Z101" s="89">
        <v>1000</v>
      </c>
      <c r="AA101" s="89">
        <v>1000</v>
      </c>
      <c r="AB101" s="123">
        <v>5500</v>
      </c>
      <c r="AC101" s="181"/>
      <c r="AD101" s="184"/>
      <c r="AE101" s="184"/>
      <c r="AF101" s="184"/>
      <c r="AG101" s="420"/>
      <c r="AH101" s="10">
        <f t="shared" ref="AH101:AH124" si="13">SUM(M101:Q101)</f>
        <v>1791701.6575534744</v>
      </c>
      <c r="AI101" s="9">
        <f t="shared" ref="AI101:AI124" si="14">SUM(R101:AG101)</f>
        <v>111000</v>
      </c>
      <c r="AJ101" s="202">
        <f t="shared" ref="AJ101:AJ124" si="15">SUM(AH101:AI101)</f>
        <v>1902701.6575534744</v>
      </c>
    </row>
    <row r="102" spans="1:36" x14ac:dyDescent="0.3">
      <c r="A102" s="160">
        <f t="shared" si="11"/>
        <v>98</v>
      </c>
      <c r="B102" s="117" t="s">
        <v>400</v>
      </c>
      <c r="C102" s="8" t="s">
        <v>253</v>
      </c>
      <c r="D102" s="8" t="s">
        <v>327</v>
      </c>
      <c r="E102" s="11" t="s">
        <v>254</v>
      </c>
      <c r="F102" s="386">
        <f>VLOOKUP($E102,'2015 Appr staffing table'!$D:$K, F$1, FALSE)</f>
        <v>0</v>
      </c>
      <c r="G102" s="386">
        <f>VLOOKUP($E102,'2015 Appr staffing table'!$D:$K, G$1, FALSE)</f>
        <v>1</v>
      </c>
      <c r="H102" s="386">
        <f>VLOOKUP($E102,'2015 Appr staffing table'!$D:$K, H$1, FALSE)</f>
        <v>1</v>
      </c>
      <c r="I102" s="386">
        <f>VLOOKUP($E102,'2015 Appr staffing table'!$D:$K, I$1, FALSE)</f>
        <v>1</v>
      </c>
      <c r="J102" s="386">
        <f>VLOOKUP($E102,'2015 Appr staffing table'!$D:$K, J$1, FALSE)</f>
        <v>0</v>
      </c>
      <c r="K102" s="386">
        <f t="shared" si="12"/>
        <v>3</v>
      </c>
      <c r="L102" s="386">
        <f>VLOOKUP($E102,'2015 Appr staffing table'!$D:$K, L$1, FALSE)</f>
        <v>5</v>
      </c>
      <c r="M102" s="310">
        <f>VLOOKUP($E102,'2015 Appr staffing table'!$D:$S, 15, FALSE)</f>
        <v>565306.2635728959</v>
      </c>
      <c r="N102" s="311">
        <f>VLOOKUP($E102,'2015 Appr staffing table'!$D:$S, 16, FALSE)</f>
        <v>94067.226890937309</v>
      </c>
      <c r="O102" s="123"/>
      <c r="P102" s="123"/>
      <c r="Q102" s="90">
        <v>2500</v>
      </c>
      <c r="R102" s="88">
        <v>25000</v>
      </c>
      <c r="S102" s="89">
        <v>20000</v>
      </c>
      <c r="T102" s="89"/>
      <c r="U102" s="89"/>
      <c r="V102" s="89">
        <v>7000</v>
      </c>
      <c r="W102" s="89">
        <v>6000</v>
      </c>
      <c r="X102" s="252">
        <v>8000</v>
      </c>
      <c r="Y102" s="89">
        <v>2500</v>
      </c>
      <c r="Z102" s="89">
        <v>1000</v>
      </c>
      <c r="AA102" s="89">
        <v>2000</v>
      </c>
      <c r="AB102" s="123">
        <v>7000</v>
      </c>
      <c r="AC102" s="181"/>
      <c r="AD102" s="184"/>
      <c r="AE102" s="184"/>
      <c r="AF102" s="184"/>
      <c r="AG102" s="420"/>
      <c r="AH102" s="10">
        <f t="shared" si="13"/>
        <v>661873.49046383321</v>
      </c>
      <c r="AI102" s="9">
        <f t="shared" si="14"/>
        <v>78500</v>
      </c>
      <c r="AJ102" s="203">
        <f t="shared" si="15"/>
        <v>740373.49046383321</v>
      </c>
    </row>
    <row r="103" spans="1:36" x14ac:dyDescent="0.3">
      <c r="A103" s="160">
        <f t="shared" si="11"/>
        <v>99</v>
      </c>
      <c r="B103" s="117" t="s">
        <v>406</v>
      </c>
      <c r="C103" s="117" t="s">
        <v>352</v>
      </c>
      <c r="D103" s="117" t="s">
        <v>339</v>
      </c>
      <c r="E103" s="161" t="s">
        <v>608</v>
      </c>
      <c r="F103" s="312">
        <f>VLOOKUP($E103,'2015 Appr staffing table'!$D:$K, F$1, FALSE)</f>
        <v>0</v>
      </c>
      <c r="G103" s="312">
        <f>VLOOKUP($E103,'2015 Appr staffing table'!$D:$K, G$1, FALSE)</f>
        <v>1</v>
      </c>
      <c r="H103" s="312">
        <f>VLOOKUP($E103,'2015 Appr staffing table'!$D:$K, H$1, FALSE)</f>
        <v>2</v>
      </c>
      <c r="I103" s="312">
        <f>VLOOKUP($E103,'2015 Appr staffing table'!$D:$K, I$1, FALSE)</f>
        <v>5</v>
      </c>
      <c r="J103" s="312">
        <f>VLOOKUP($E103,'2015 Appr staffing table'!$D:$K, J$1, FALSE)</f>
        <v>0</v>
      </c>
      <c r="K103" s="312">
        <f t="shared" si="12"/>
        <v>8</v>
      </c>
      <c r="L103" s="312">
        <f>VLOOKUP($E103,'2015 Appr staffing table'!$D:$K, L$1, FALSE)</f>
        <v>6</v>
      </c>
      <c r="M103" s="310">
        <f>VLOOKUP($E103,'2015 Appr staffing table'!$D:$S, 15, FALSE)</f>
        <v>1945831.2481801575</v>
      </c>
      <c r="N103" s="311">
        <f>VLOOKUP($E103,'2015 Appr staffing table'!$D:$S, 16, FALSE)</f>
        <v>164923.84836968803</v>
      </c>
      <c r="O103" s="123"/>
      <c r="P103" s="123"/>
      <c r="Q103" s="90">
        <v>3000</v>
      </c>
      <c r="R103" s="88">
        <v>10000</v>
      </c>
      <c r="S103" s="89">
        <v>2000</v>
      </c>
      <c r="T103" s="89"/>
      <c r="U103" s="89"/>
      <c r="V103" s="89">
        <v>15000</v>
      </c>
      <c r="W103" s="89">
        <v>4000</v>
      </c>
      <c r="X103" s="89">
        <v>5000</v>
      </c>
      <c r="Y103" s="89">
        <f>3000-2000</f>
        <v>1000</v>
      </c>
      <c r="Z103" s="89">
        <v>1000</v>
      </c>
      <c r="AA103" s="89">
        <v>2000</v>
      </c>
      <c r="AB103" s="123">
        <v>2500</v>
      </c>
      <c r="AC103" s="181"/>
      <c r="AD103" s="184"/>
      <c r="AE103" s="184"/>
      <c r="AF103" s="184"/>
      <c r="AG103" s="420"/>
      <c r="AH103" s="10">
        <f t="shared" si="13"/>
        <v>2113755.0965498453</v>
      </c>
      <c r="AI103" s="9">
        <f t="shared" si="14"/>
        <v>42500</v>
      </c>
      <c r="AJ103" s="203">
        <f t="shared" si="15"/>
        <v>2156255.0965498453</v>
      </c>
    </row>
    <row r="104" spans="1:36" x14ac:dyDescent="0.3">
      <c r="A104" s="160">
        <f t="shared" si="11"/>
        <v>100</v>
      </c>
      <c r="B104" s="117" t="s">
        <v>406</v>
      </c>
      <c r="C104" s="8" t="s">
        <v>255</v>
      </c>
      <c r="D104" s="117" t="s">
        <v>339</v>
      </c>
      <c r="E104" s="11" t="s">
        <v>609</v>
      </c>
      <c r="F104" s="312">
        <f>VLOOKUP($E104,'2015 Appr staffing table'!$D:$K, F$1, FALSE)</f>
        <v>0</v>
      </c>
      <c r="G104" s="312">
        <f>VLOOKUP($E104,'2015 Appr staffing table'!$D:$K, G$1, FALSE)</f>
        <v>0</v>
      </c>
      <c r="H104" s="312">
        <f>VLOOKUP($E104,'2015 Appr staffing table'!$D:$K, H$1, FALSE)</f>
        <v>2</v>
      </c>
      <c r="I104" s="312">
        <f>VLOOKUP($E104,'2015 Appr staffing table'!$D:$K, I$1, FALSE)</f>
        <v>2</v>
      </c>
      <c r="J104" s="312">
        <f>VLOOKUP($E104,'2015 Appr staffing table'!$D:$K, J$1, FALSE)</f>
        <v>0</v>
      </c>
      <c r="K104" s="312">
        <f t="shared" si="12"/>
        <v>4</v>
      </c>
      <c r="L104" s="312">
        <f>VLOOKUP($E104,'2015 Appr staffing table'!$D:$K, L$1, FALSE)</f>
        <v>9</v>
      </c>
      <c r="M104" s="310">
        <f>VLOOKUP($E104,'2015 Appr staffing table'!$D:$S, 15, FALSE)</f>
        <v>973753.84622286935</v>
      </c>
      <c r="N104" s="311">
        <f>VLOOKUP($E104,'2015 Appr staffing table'!$D:$S, 16, FALSE)</f>
        <v>247385.77255453201</v>
      </c>
      <c r="O104" s="123"/>
      <c r="P104" s="123"/>
      <c r="Q104" s="90">
        <v>5000</v>
      </c>
      <c r="R104" s="88">
        <v>10000</v>
      </c>
      <c r="S104" s="89">
        <v>20700</v>
      </c>
      <c r="T104" s="89"/>
      <c r="U104" s="89"/>
      <c r="V104" s="89">
        <v>8000</v>
      </c>
      <c r="W104" s="89">
        <v>3000</v>
      </c>
      <c r="X104" s="89">
        <f>10000-4000</f>
        <v>6000</v>
      </c>
      <c r="Y104" s="89">
        <f>4000-1000</f>
        <v>3000</v>
      </c>
      <c r="Z104" s="89">
        <v>1000</v>
      </c>
      <c r="AA104" s="89">
        <v>1000</v>
      </c>
      <c r="AB104" s="123">
        <v>3500</v>
      </c>
      <c r="AC104" s="181"/>
      <c r="AD104" s="184"/>
      <c r="AE104" s="184"/>
      <c r="AF104" s="184"/>
      <c r="AG104" s="420"/>
      <c r="AH104" s="10">
        <f t="shared" si="13"/>
        <v>1226139.6187774013</v>
      </c>
      <c r="AI104" s="9">
        <f t="shared" si="14"/>
        <v>56200</v>
      </c>
      <c r="AJ104" s="203">
        <f t="shared" si="15"/>
        <v>1282339.6187774013</v>
      </c>
    </row>
    <row r="105" spans="1:36" x14ac:dyDescent="0.3">
      <c r="A105" s="125"/>
      <c r="B105" s="126"/>
      <c r="C105" s="127" t="s">
        <v>531</v>
      </c>
      <c r="D105" s="127" t="s">
        <v>339</v>
      </c>
      <c r="E105" s="131" t="s">
        <v>256</v>
      </c>
      <c r="F105" s="390">
        <f>VLOOKUP($E105,'2015 Appr staffing table'!$D:$K, F$1, FALSE)</f>
        <v>0</v>
      </c>
      <c r="G105" s="390">
        <f>VLOOKUP($E105,'2015 Appr staffing table'!$D:$K, G$1, FALSE)</f>
        <v>1</v>
      </c>
      <c r="H105" s="390">
        <f>VLOOKUP($E105,'2015 Appr staffing table'!$D:$K, H$1, FALSE)</f>
        <v>4</v>
      </c>
      <c r="I105" s="390">
        <f>VLOOKUP($E105,'2015 Appr staffing table'!$D:$K, I$1, FALSE)</f>
        <v>7</v>
      </c>
      <c r="J105" s="390">
        <f>VLOOKUP($E105,'2015 Appr staffing table'!$D:$K, J$1, FALSE)</f>
        <v>0</v>
      </c>
      <c r="K105" s="390">
        <f t="shared" si="12"/>
        <v>12</v>
      </c>
      <c r="L105" s="390">
        <f>VLOOKUP($E105,'2015 Appr staffing table'!$D:$K, L$1, FALSE)</f>
        <v>15</v>
      </c>
      <c r="M105" s="313">
        <f>VLOOKUP($E105,'2015 Appr staffing table'!$D:$S, 15, FALSE)</f>
        <v>2919585.0944030266</v>
      </c>
      <c r="N105" s="314">
        <f>VLOOKUP($E105,'2015 Appr staffing table'!$D:$S, 16, FALSE)</f>
        <v>412309.62092422001</v>
      </c>
      <c r="O105" s="396"/>
      <c r="P105" s="396"/>
      <c r="Q105" s="397">
        <f t="shared" ref="Q105:V105" si="16">SUM(Q103:Q104)</f>
        <v>8000</v>
      </c>
      <c r="R105" s="132">
        <f t="shared" ref="R105" si="17">SUM(R103:R104)</f>
        <v>20000</v>
      </c>
      <c r="S105" s="205">
        <f t="shared" ref="S105" si="18">SUM(S103:S104)</f>
        <v>22700</v>
      </c>
      <c r="T105" s="205">
        <f t="shared" si="16"/>
        <v>0</v>
      </c>
      <c r="U105" s="205">
        <f t="shared" si="16"/>
        <v>0</v>
      </c>
      <c r="V105" s="205">
        <f t="shared" si="16"/>
        <v>23000</v>
      </c>
      <c r="W105" s="205">
        <f t="shared" ref="W105" si="19">SUM(W103:W104)</f>
        <v>7000</v>
      </c>
      <c r="X105" s="205">
        <f t="shared" ref="X105" si="20">SUM(X103:X104)</f>
        <v>11000</v>
      </c>
      <c r="Y105" s="205">
        <f t="shared" ref="Y105:AB105" si="21">SUM(Y103:Y104)</f>
        <v>4000</v>
      </c>
      <c r="Z105" s="205">
        <f t="shared" si="21"/>
        <v>2000</v>
      </c>
      <c r="AA105" s="205">
        <f t="shared" si="21"/>
        <v>3000</v>
      </c>
      <c r="AB105" s="204">
        <f t="shared" si="21"/>
        <v>6000</v>
      </c>
      <c r="AC105" s="294"/>
      <c r="AD105" s="186"/>
      <c r="AE105" s="186"/>
      <c r="AF105" s="186"/>
      <c r="AG105" s="422"/>
      <c r="AH105" s="133">
        <f t="shared" si="13"/>
        <v>3339894.7153272466</v>
      </c>
      <c r="AI105" s="134">
        <f t="shared" si="14"/>
        <v>98700</v>
      </c>
      <c r="AJ105" s="135">
        <f t="shared" si="15"/>
        <v>3438594.7153272466</v>
      </c>
    </row>
    <row r="106" spans="1:36" x14ac:dyDescent="0.3">
      <c r="A106" s="160">
        <v>101</v>
      </c>
      <c r="B106" s="117" t="s">
        <v>383</v>
      </c>
      <c r="C106" s="8" t="s">
        <v>257</v>
      </c>
      <c r="D106" s="117" t="s">
        <v>423</v>
      </c>
      <c r="E106" s="11" t="s">
        <v>258</v>
      </c>
      <c r="F106" s="386">
        <f>VLOOKUP($E106,'2015 Appr staffing table'!$D:$K, F$1, FALSE)</f>
        <v>0</v>
      </c>
      <c r="G106" s="386">
        <f>VLOOKUP($E106,'2015 Appr staffing table'!$D:$K, G$1, FALSE)</f>
        <v>0</v>
      </c>
      <c r="H106" s="386">
        <f>VLOOKUP($E106,'2015 Appr staffing table'!$D:$K, H$1, FALSE)</f>
        <v>0</v>
      </c>
      <c r="I106" s="386">
        <f>VLOOKUP($E106,'2015 Appr staffing table'!$D:$K, I$1, FALSE)</f>
        <v>0</v>
      </c>
      <c r="J106" s="386">
        <f>VLOOKUP($E106,'2015 Appr staffing table'!$D:$K, J$1, FALSE)</f>
        <v>0</v>
      </c>
      <c r="K106" s="386">
        <f t="shared" si="12"/>
        <v>0</v>
      </c>
      <c r="L106" s="386">
        <f>VLOOKUP($E106,'2015 Appr staffing table'!$D:$K, L$1, FALSE)</f>
        <v>1</v>
      </c>
      <c r="M106" s="310">
        <f>VLOOKUP($E106,'2015 Appr staffing table'!$D:$S, 15, FALSE)</f>
        <v>0</v>
      </c>
      <c r="N106" s="311">
        <f>VLOOKUP($E106,'2015 Appr staffing table'!$D:$S, 16, FALSE)</f>
        <v>26863.713409455035</v>
      </c>
      <c r="O106" s="123"/>
      <c r="P106" s="123"/>
      <c r="Q106" s="90">
        <v>1000</v>
      </c>
      <c r="R106" s="88">
        <f>4000-1500</f>
        <v>2500</v>
      </c>
      <c r="S106" s="89">
        <v>8600</v>
      </c>
      <c r="T106" s="89"/>
      <c r="U106" s="89"/>
      <c r="V106" s="89">
        <v>5000</v>
      </c>
      <c r="W106" s="89">
        <v>1500</v>
      </c>
      <c r="X106" s="89">
        <v>1500</v>
      </c>
      <c r="Y106" s="89">
        <v>500</v>
      </c>
      <c r="Z106" s="89">
        <v>0</v>
      </c>
      <c r="AA106" s="89">
        <v>500</v>
      </c>
      <c r="AB106" s="123">
        <v>500</v>
      </c>
      <c r="AC106" s="181"/>
      <c r="AD106" s="184"/>
      <c r="AE106" s="184"/>
      <c r="AF106" s="184"/>
      <c r="AG106" s="420"/>
      <c r="AH106" s="10">
        <f t="shared" si="13"/>
        <v>27863.713409455035</v>
      </c>
      <c r="AI106" s="9">
        <f t="shared" si="14"/>
        <v>20600</v>
      </c>
      <c r="AJ106" s="202">
        <f t="shared" si="15"/>
        <v>48463.713409455035</v>
      </c>
    </row>
    <row r="107" spans="1:36" x14ac:dyDescent="0.3">
      <c r="A107" s="160">
        <f t="shared" ref="A107:A124" si="22">A106+1</f>
        <v>102</v>
      </c>
      <c r="B107" s="8" t="s">
        <v>259</v>
      </c>
      <c r="C107" s="8" t="s">
        <v>260</v>
      </c>
      <c r="D107" s="8" t="s">
        <v>329</v>
      </c>
      <c r="E107" s="11" t="s">
        <v>261</v>
      </c>
      <c r="F107" s="386">
        <f>VLOOKUP($E107,'2015 Appr staffing table'!$D:$K, F$1, FALSE)</f>
        <v>0</v>
      </c>
      <c r="G107" s="386">
        <f>VLOOKUP($E107,'2015 Appr staffing table'!$D:$K, G$1, FALSE)</f>
        <v>1</v>
      </c>
      <c r="H107" s="386">
        <f>VLOOKUP($E107,'2015 Appr staffing table'!$D:$K, H$1, FALSE)</f>
        <v>2</v>
      </c>
      <c r="I107" s="386">
        <f>VLOOKUP($E107,'2015 Appr staffing table'!$D:$K, I$1, FALSE)</f>
        <v>2</v>
      </c>
      <c r="J107" s="386">
        <f>VLOOKUP($E107,'2015 Appr staffing table'!$D:$K, J$1, FALSE)</f>
        <v>0</v>
      </c>
      <c r="K107" s="386">
        <f t="shared" si="12"/>
        <v>5</v>
      </c>
      <c r="L107" s="386">
        <f>VLOOKUP($E107,'2015 Appr staffing table'!$D:$K, L$1, FALSE)</f>
        <v>5</v>
      </c>
      <c r="M107" s="310">
        <f>VLOOKUP($E107,'2015 Appr staffing table'!$D:$S, 15, FALSE)</f>
        <v>1210303.2951931795</v>
      </c>
      <c r="N107" s="311">
        <f>VLOOKUP($E107,'2015 Appr staffing table'!$D:$S, 16, FALSE)</f>
        <v>170484.39474575655</v>
      </c>
      <c r="O107" s="123"/>
      <c r="P107" s="123"/>
      <c r="Q107" s="90">
        <v>1000</v>
      </c>
      <c r="R107" s="88">
        <v>8000</v>
      </c>
      <c r="S107" s="89">
        <v>11500</v>
      </c>
      <c r="T107" s="89"/>
      <c r="U107" s="89"/>
      <c r="V107" s="89">
        <v>14000</v>
      </c>
      <c r="W107" s="89">
        <v>2400</v>
      </c>
      <c r="X107" s="89">
        <v>2200</v>
      </c>
      <c r="Y107" s="89">
        <v>700</v>
      </c>
      <c r="Z107" s="89">
        <v>1000</v>
      </c>
      <c r="AA107" s="89">
        <v>1500</v>
      </c>
      <c r="AB107" s="123">
        <v>1000</v>
      </c>
      <c r="AC107" s="181"/>
      <c r="AD107" s="184"/>
      <c r="AE107" s="184"/>
      <c r="AF107" s="184"/>
      <c r="AG107" s="420"/>
      <c r="AH107" s="10">
        <f t="shared" si="13"/>
        <v>1381787.6899389361</v>
      </c>
      <c r="AI107" s="9">
        <f t="shared" si="14"/>
        <v>42300</v>
      </c>
      <c r="AJ107" s="202">
        <f t="shared" si="15"/>
        <v>1424087.6899389361</v>
      </c>
    </row>
    <row r="108" spans="1:36" x14ac:dyDescent="0.3">
      <c r="A108" s="160">
        <f t="shared" si="22"/>
        <v>103</v>
      </c>
      <c r="B108" s="117" t="s">
        <v>417</v>
      </c>
      <c r="C108" s="8" t="s">
        <v>262</v>
      </c>
      <c r="D108" s="8" t="s">
        <v>327</v>
      </c>
      <c r="E108" s="11" t="s">
        <v>263</v>
      </c>
      <c r="F108" s="386">
        <f>VLOOKUP($E108,'2015 Appr staffing table'!$D:$K, F$1, FALSE)</f>
        <v>0</v>
      </c>
      <c r="G108" s="386">
        <f>VLOOKUP($E108,'2015 Appr staffing table'!$D:$K, G$1, FALSE)</f>
        <v>0</v>
      </c>
      <c r="H108" s="386">
        <f>VLOOKUP($E108,'2015 Appr staffing table'!$D:$K, H$1, FALSE)</f>
        <v>1</v>
      </c>
      <c r="I108" s="386">
        <f>VLOOKUP($E108,'2015 Appr staffing table'!$D:$K, I$1, FALSE)</f>
        <v>1</v>
      </c>
      <c r="J108" s="386">
        <f>VLOOKUP($E108,'2015 Appr staffing table'!$D:$K, J$1, FALSE)</f>
        <v>0</v>
      </c>
      <c r="K108" s="386">
        <f t="shared" si="12"/>
        <v>2</v>
      </c>
      <c r="L108" s="386">
        <f>VLOOKUP($E108,'2015 Appr staffing table'!$D:$K, L$1, FALSE)</f>
        <v>4</v>
      </c>
      <c r="M108" s="310">
        <f>VLOOKUP($E108,'2015 Appr staffing table'!$D:$S, 15, FALSE)</f>
        <v>359295.78016022546</v>
      </c>
      <c r="N108" s="311">
        <f>VLOOKUP($E108,'2015 Appr staffing table'!$D:$S, 16, FALSE)</f>
        <v>93783.069862820616</v>
      </c>
      <c r="O108" s="123"/>
      <c r="P108" s="123"/>
      <c r="Q108" s="90">
        <v>1500</v>
      </c>
      <c r="R108" s="88">
        <v>4500</v>
      </c>
      <c r="S108" s="89">
        <v>15900</v>
      </c>
      <c r="T108" s="89"/>
      <c r="U108" s="89"/>
      <c r="V108" s="89">
        <v>7000</v>
      </c>
      <c r="W108" s="89">
        <v>3500</v>
      </c>
      <c r="X108" s="89">
        <v>5500</v>
      </c>
      <c r="Y108" s="89">
        <v>1200</v>
      </c>
      <c r="Z108" s="89">
        <v>700</v>
      </c>
      <c r="AA108" s="89">
        <v>800</v>
      </c>
      <c r="AB108" s="123">
        <v>700</v>
      </c>
      <c r="AC108" s="181"/>
      <c r="AD108" s="184"/>
      <c r="AE108" s="184"/>
      <c r="AF108" s="184"/>
      <c r="AG108" s="420"/>
      <c r="AH108" s="10">
        <f t="shared" si="13"/>
        <v>454578.85002304608</v>
      </c>
      <c r="AI108" s="9">
        <f t="shared" si="14"/>
        <v>39800</v>
      </c>
      <c r="AJ108" s="202">
        <f t="shared" si="15"/>
        <v>494378.85002304608</v>
      </c>
    </row>
    <row r="109" spans="1:36" x14ac:dyDescent="0.3">
      <c r="A109" s="160">
        <f t="shared" si="22"/>
        <v>104</v>
      </c>
      <c r="B109" s="8" t="s">
        <v>266</v>
      </c>
      <c r="C109" s="8" t="s">
        <v>267</v>
      </c>
      <c r="D109" s="8" t="s">
        <v>327</v>
      </c>
      <c r="E109" s="11" t="s">
        <v>268</v>
      </c>
      <c r="F109" s="386">
        <f>VLOOKUP($E109,'2015 Appr staffing table'!$D:$K, F$1, FALSE)</f>
        <v>0</v>
      </c>
      <c r="G109" s="386">
        <f>VLOOKUP($E109,'2015 Appr staffing table'!$D:$K, G$1, FALSE)</f>
        <v>0</v>
      </c>
      <c r="H109" s="386">
        <f>VLOOKUP($E109,'2015 Appr staffing table'!$D:$K, H$1, FALSE)</f>
        <v>2</v>
      </c>
      <c r="I109" s="386">
        <f>VLOOKUP($E109,'2015 Appr staffing table'!$D:$K, I$1, FALSE)</f>
        <v>0</v>
      </c>
      <c r="J109" s="386">
        <f>VLOOKUP($E109,'2015 Appr staffing table'!$D:$K, J$1, FALSE)</f>
        <v>0</v>
      </c>
      <c r="K109" s="386">
        <f t="shared" si="12"/>
        <v>2</v>
      </c>
      <c r="L109" s="386">
        <f>VLOOKUP($E109,'2015 Appr staffing table'!$D:$K, L$1, FALSE)</f>
        <v>2</v>
      </c>
      <c r="M109" s="310">
        <f>VLOOKUP($E109,'2015 Appr staffing table'!$D:$S, 15, FALSE)</f>
        <v>366604.62527183333</v>
      </c>
      <c r="N109" s="311">
        <f>VLOOKUP($E109,'2015 Appr staffing table'!$D:$S, 16, FALSE)</f>
        <v>123724.0679427515</v>
      </c>
      <c r="O109" s="123"/>
      <c r="P109" s="123"/>
      <c r="Q109" s="90">
        <v>1000</v>
      </c>
      <c r="R109" s="88">
        <v>6000</v>
      </c>
      <c r="S109" s="89">
        <v>0</v>
      </c>
      <c r="T109" s="89"/>
      <c r="U109" s="89"/>
      <c r="V109" s="89">
        <v>7000</v>
      </c>
      <c r="W109" s="89">
        <v>300</v>
      </c>
      <c r="X109" s="89">
        <v>1500</v>
      </c>
      <c r="Y109" s="89">
        <v>400</v>
      </c>
      <c r="Z109" s="89">
        <v>1000</v>
      </c>
      <c r="AA109" s="89">
        <v>1500</v>
      </c>
      <c r="AB109" s="123">
        <f>1100-500</f>
        <v>600</v>
      </c>
      <c r="AC109" s="181"/>
      <c r="AD109" s="184"/>
      <c r="AE109" s="184"/>
      <c r="AF109" s="184"/>
      <c r="AG109" s="420"/>
      <c r="AH109" s="10">
        <f t="shared" si="13"/>
        <v>491328.69321458484</v>
      </c>
      <c r="AI109" s="9">
        <f t="shared" si="14"/>
        <v>18300</v>
      </c>
      <c r="AJ109" s="202">
        <f t="shared" si="15"/>
        <v>509628.69321458484</v>
      </c>
    </row>
    <row r="110" spans="1:36" x14ac:dyDescent="0.3">
      <c r="A110" s="160">
        <f t="shared" si="22"/>
        <v>105</v>
      </c>
      <c r="B110" s="117" t="s">
        <v>384</v>
      </c>
      <c r="C110" s="8" t="s">
        <v>269</v>
      </c>
      <c r="D110" s="117" t="s">
        <v>423</v>
      </c>
      <c r="E110" s="11" t="s">
        <v>270</v>
      </c>
      <c r="F110" s="386">
        <f>VLOOKUP($E110,'2015 Appr staffing table'!$D:$K, F$1, FALSE)</f>
        <v>0</v>
      </c>
      <c r="G110" s="386">
        <f>VLOOKUP($E110,'2015 Appr staffing table'!$D:$K, G$1, FALSE)</f>
        <v>0</v>
      </c>
      <c r="H110" s="386">
        <f>VLOOKUP($E110,'2015 Appr staffing table'!$D:$K, H$1, FALSE)</f>
        <v>1</v>
      </c>
      <c r="I110" s="386">
        <f>VLOOKUP($E110,'2015 Appr staffing table'!$D:$K, I$1, FALSE)</f>
        <v>0</v>
      </c>
      <c r="J110" s="386">
        <f>VLOOKUP($E110,'2015 Appr staffing table'!$D:$K, J$1, FALSE)</f>
        <v>0</v>
      </c>
      <c r="K110" s="386">
        <f t="shared" si="12"/>
        <v>1</v>
      </c>
      <c r="L110" s="386">
        <f>VLOOKUP($E110,'2015 Appr staffing table'!$D:$K, L$1, FALSE)</f>
        <v>2</v>
      </c>
      <c r="M110" s="310">
        <f>VLOOKUP($E110,'2015 Appr staffing table'!$D:$S, 15, FALSE)</f>
        <v>191384.55369907495</v>
      </c>
      <c r="N110" s="311">
        <f>VLOOKUP($E110,'2015 Appr staffing table'!$D:$S, 16, FALSE)</f>
        <v>62575.288521095325</v>
      </c>
      <c r="O110" s="123"/>
      <c r="P110" s="398"/>
      <c r="Q110" s="90">
        <v>1000</v>
      </c>
      <c r="R110" s="88">
        <v>1500</v>
      </c>
      <c r="S110" s="89"/>
      <c r="T110" s="89"/>
      <c r="U110" s="89"/>
      <c r="V110" s="89">
        <v>4000</v>
      </c>
      <c r="W110" s="89">
        <v>3500</v>
      </c>
      <c r="X110" s="89">
        <v>4000</v>
      </c>
      <c r="Y110" s="89">
        <v>700</v>
      </c>
      <c r="Z110" s="89">
        <f>1000-500</f>
        <v>500</v>
      </c>
      <c r="AA110" s="89">
        <v>500</v>
      </c>
      <c r="AB110" s="123">
        <v>500</v>
      </c>
      <c r="AC110" s="181"/>
      <c r="AD110" s="184"/>
      <c r="AE110" s="184"/>
      <c r="AF110" s="184"/>
      <c r="AG110" s="420"/>
      <c r="AH110" s="10">
        <f t="shared" si="13"/>
        <v>254959.84222017028</v>
      </c>
      <c r="AI110" s="9">
        <f t="shared" si="14"/>
        <v>15200</v>
      </c>
      <c r="AJ110" s="202">
        <f t="shared" si="15"/>
        <v>270159.84222017031</v>
      </c>
    </row>
    <row r="111" spans="1:36" x14ac:dyDescent="0.3">
      <c r="A111" s="160">
        <f t="shared" si="22"/>
        <v>106</v>
      </c>
      <c r="B111" s="117" t="s">
        <v>342</v>
      </c>
      <c r="C111" s="117" t="s">
        <v>341</v>
      </c>
      <c r="D111" s="8" t="s">
        <v>328</v>
      </c>
      <c r="E111" s="161" t="s">
        <v>343</v>
      </c>
      <c r="F111" s="312">
        <f>VLOOKUP($E111,'2015 Appr staffing table'!$D:$K, F$1, FALSE)</f>
        <v>0</v>
      </c>
      <c r="G111" s="312">
        <f>VLOOKUP($E111,'2015 Appr staffing table'!$D:$K, G$1, FALSE)</f>
        <v>0</v>
      </c>
      <c r="H111" s="312">
        <f>VLOOKUP($E111,'2015 Appr staffing table'!$D:$K, H$1, FALSE)</f>
        <v>1</v>
      </c>
      <c r="I111" s="312">
        <f>VLOOKUP($E111,'2015 Appr staffing table'!$D:$K, I$1, FALSE)</f>
        <v>0</v>
      </c>
      <c r="J111" s="312">
        <f>VLOOKUP($E111,'2015 Appr staffing table'!$D:$K, J$1, FALSE)</f>
        <v>0</v>
      </c>
      <c r="K111" s="312">
        <f t="shared" si="12"/>
        <v>1</v>
      </c>
      <c r="L111" s="312">
        <f>VLOOKUP($E111,'2015 Appr staffing table'!$D:$K, L$1, FALSE)</f>
        <v>2</v>
      </c>
      <c r="M111" s="310">
        <f>VLOOKUP($E111,'2015 Appr staffing table'!$D:$S, 15, FALSE)</f>
        <v>186676.84982256667</v>
      </c>
      <c r="N111" s="311">
        <f>VLOOKUP($E111,'2015 Appr staffing table'!$D:$S, 16, FALSE)</f>
        <v>96706.294007837074</v>
      </c>
      <c r="O111" s="123"/>
      <c r="P111" s="123"/>
      <c r="Q111" s="90">
        <v>1000</v>
      </c>
      <c r="R111" s="88">
        <v>5500</v>
      </c>
      <c r="S111" s="89">
        <v>8100</v>
      </c>
      <c r="T111" s="89"/>
      <c r="U111" s="89"/>
      <c r="V111" s="89">
        <v>5000</v>
      </c>
      <c r="W111" s="89">
        <v>800</v>
      </c>
      <c r="X111" s="89">
        <v>500</v>
      </c>
      <c r="Y111" s="89">
        <v>1000</v>
      </c>
      <c r="Z111" s="89">
        <v>1000</v>
      </c>
      <c r="AA111" s="89">
        <v>500</v>
      </c>
      <c r="AB111" s="123">
        <v>500</v>
      </c>
      <c r="AC111" s="181"/>
      <c r="AD111" s="184"/>
      <c r="AE111" s="184"/>
      <c r="AF111" s="184"/>
      <c r="AG111" s="420"/>
      <c r="AH111" s="10">
        <f t="shared" si="13"/>
        <v>284383.14383040374</v>
      </c>
      <c r="AI111" s="9">
        <f t="shared" si="14"/>
        <v>22900</v>
      </c>
      <c r="AJ111" s="202">
        <f t="shared" si="15"/>
        <v>307283.14383040374</v>
      </c>
    </row>
    <row r="112" spans="1:36" x14ac:dyDescent="0.3">
      <c r="A112" s="160">
        <f t="shared" si="22"/>
        <v>107</v>
      </c>
      <c r="B112" s="8" t="s">
        <v>271</v>
      </c>
      <c r="C112" s="8" t="s">
        <v>272</v>
      </c>
      <c r="D112" s="117" t="s">
        <v>423</v>
      </c>
      <c r="E112" s="11" t="s">
        <v>273</v>
      </c>
      <c r="F112" s="386">
        <f>VLOOKUP($E112,'2015 Appr staffing table'!$D:$K, F$1, FALSE)</f>
        <v>0</v>
      </c>
      <c r="G112" s="386">
        <f>VLOOKUP($E112,'2015 Appr staffing table'!$D:$K, G$1, FALSE)</f>
        <v>0</v>
      </c>
      <c r="H112" s="386">
        <f>VLOOKUP($E112,'2015 Appr staffing table'!$D:$K, H$1, FALSE)</f>
        <v>1</v>
      </c>
      <c r="I112" s="386">
        <f>VLOOKUP($E112,'2015 Appr staffing table'!$D:$K, I$1, FALSE)</f>
        <v>0</v>
      </c>
      <c r="J112" s="386">
        <f>VLOOKUP($E112,'2015 Appr staffing table'!$D:$K, J$1, FALSE)</f>
        <v>0</v>
      </c>
      <c r="K112" s="386">
        <f t="shared" si="12"/>
        <v>1</v>
      </c>
      <c r="L112" s="386">
        <f>VLOOKUP($E112,'2015 Appr staffing table'!$D:$K, L$1, FALSE)</f>
        <v>2</v>
      </c>
      <c r="M112" s="310">
        <f>VLOOKUP($E112,'2015 Appr staffing table'!$D:$S, 15, FALSE)</f>
        <v>164420.97361537497</v>
      </c>
      <c r="N112" s="311">
        <f>VLOOKUP($E112,'2015 Appr staffing table'!$D:$S, 16, FALSE)</f>
        <v>44659.486793434648</v>
      </c>
      <c r="O112" s="123"/>
      <c r="P112" s="123"/>
      <c r="Q112" s="90">
        <v>1000</v>
      </c>
      <c r="R112" s="88">
        <v>3000</v>
      </c>
      <c r="S112" s="89">
        <v>16400</v>
      </c>
      <c r="T112" s="89"/>
      <c r="U112" s="89"/>
      <c r="V112" s="89">
        <v>4000</v>
      </c>
      <c r="W112" s="89">
        <v>1300</v>
      </c>
      <c r="X112" s="89">
        <v>2500</v>
      </c>
      <c r="Y112" s="89">
        <v>800</v>
      </c>
      <c r="Z112" s="89">
        <v>800</v>
      </c>
      <c r="AA112" s="89">
        <v>500</v>
      </c>
      <c r="AB112" s="123">
        <v>1000</v>
      </c>
      <c r="AC112" s="181"/>
      <c r="AD112" s="184"/>
      <c r="AE112" s="184"/>
      <c r="AF112" s="184"/>
      <c r="AG112" s="420"/>
      <c r="AH112" s="10">
        <f t="shared" si="13"/>
        <v>210080.46040880962</v>
      </c>
      <c r="AI112" s="9">
        <f t="shared" si="14"/>
        <v>30300</v>
      </c>
      <c r="AJ112" s="202">
        <f t="shared" si="15"/>
        <v>240380.46040880962</v>
      </c>
    </row>
    <row r="113" spans="1:37" x14ac:dyDescent="0.3">
      <c r="A113" s="160">
        <f t="shared" si="22"/>
        <v>108</v>
      </c>
      <c r="B113" s="8" t="s">
        <v>274</v>
      </c>
      <c r="C113" s="8" t="s">
        <v>275</v>
      </c>
      <c r="D113" s="8" t="s">
        <v>329</v>
      </c>
      <c r="E113" s="11" t="s">
        <v>276</v>
      </c>
      <c r="F113" s="386">
        <f>VLOOKUP($E113,'2015 Appr staffing table'!$D:$K, F$1, FALSE)</f>
        <v>0</v>
      </c>
      <c r="G113" s="386">
        <f>VLOOKUP($E113,'2015 Appr staffing table'!$D:$K, G$1, FALSE)</f>
        <v>0</v>
      </c>
      <c r="H113" s="386">
        <f>VLOOKUP($E113,'2015 Appr staffing table'!$D:$K, H$1, FALSE)</f>
        <v>1</v>
      </c>
      <c r="I113" s="386">
        <f>VLOOKUP($E113,'2015 Appr staffing table'!$D:$K, I$1, FALSE)</f>
        <v>1</v>
      </c>
      <c r="J113" s="386">
        <f>VLOOKUP($E113,'2015 Appr staffing table'!$D:$K, J$1, FALSE)</f>
        <v>0</v>
      </c>
      <c r="K113" s="386">
        <f t="shared" si="12"/>
        <v>2</v>
      </c>
      <c r="L113" s="386">
        <f>VLOOKUP($E113,'2015 Appr staffing table'!$D:$K, L$1, FALSE)</f>
        <v>3</v>
      </c>
      <c r="M113" s="310">
        <f>VLOOKUP($E113,'2015 Appr staffing table'!$D:$S, 15, FALSE)</f>
        <v>330340.89826159179</v>
      </c>
      <c r="N113" s="311">
        <f>VLOOKUP($E113,'2015 Appr staffing table'!$D:$S, 16, FALSE)</f>
        <v>138096.1612663485</v>
      </c>
      <c r="O113" s="123"/>
      <c r="P113" s="123"/>
      <c r="Q113" s="90">
        <v>1500</v>
      </c>
      <c r="R113" s="88">
        <v>40000</v>
      </c>
      <c r="S113" s="89">
        <v>57000</v>
      </c>
      <c r="T113" s="89"/>
      <c r="U113" s="89"/>
      <c r="V113" s="89">
        <v>8200</v>
      </c>
      <c r="W113" s="89">
        <v>3000</v>
      </c>
      <c r="X113" s="89">
        <v>10000</v>
      </c>
      <c r="Y113" s="89">
        <v>2100</v>
      </c>
      <c r="Z113" s="89">
        <v>1000</v>
      </c>
      <c r="AA113" s="89">
        <v>1000</v>
      </c>
      <c r="AB113" s="123">
        <v>3000</v>
      </c>
      <c r="AC113" s="181"/>
      <c r="AD113" s="184"/>
      <c r="AE113" s="184"/>
      <c r="AF113" s="184"/>
      <c r="AG113" s="420"/>
      <c r="AH113" s="10">
        <f t="shared" si="13"/>
        <v>469937.05952794029</v>
      </c>
      <c r="AI113" s="9">
        <f t="shared" si="14"/>
        <v>125300</v>
      </c>
      <c r="AJ113" s="203">
        <f t="shared" si="15"/>
        <v>595237.05952794035</v>
      </c>
    </row>
    <row r="114" spans="1:37" x14ac:dyDescent="0.3">
      <c r="A114" s="160">
        <f t="shared" si="22"/>
        <v>109</v>
      </c>
      <c r="B114" s="117" t="s">
        <v>418</v>
      </c>
      <c r="C114" s="8" t="s">
        <v>277</v>
      </c>
      <c r="D114" s="8" t="s">
        <v>327</v>
      </c>
      <c r="E114" s="11" t="s">
        <v>278</v>
      </c>
      <c r="F114" s="386">
        <f>VLOOKUP($E114,'2015 Appr staffing table'!$D:$K, F$1, FALSE)</f>
        <v>0</v>
      </c>
      <c r="G114" s="386">
        <f>VLOOKUP($E114,'2015 Appr staffing table'!$D:$K, G$1, FALSE)</f>
        <v>0</v>
      </c>
      <c r="H114" s="386">
        <f>VLOOKUP($E114,'2015 Appr staffing table'!$D:$K, H$1, FALSE)</f>
        <v>1</v>
      </c>
      <c r="I114" s="386">
        <f>VLOOKUP($E114,'2015 Appr staffing table'!$D:$K, I$1, FALSE)</f>
        <v>0</v>
      </c>
      <c r="J114" s="386">
        <f>VLOOKUP($E114,'2015 Appr staffing table'!$D:$K, J$1, FALSE)</f>
        <v>0</v>
      </c>
      <c r="K114" s="386">
        <f t="shared" si="12"/>
        <v>1</v>
      </c>
      <c r="L114" s="386">
        <f>VLOOKUP($E114,'2015 Appr staffing table'!$D:$K, L$1, FALSE)</f>
        <v>2</v>
      </c>
      <c r="M114" s="310">
        <f>VLOOKUP($E114,'2015 Appr staffing table'!$D:$S, 15, FALSE)</f>
        <v>202325.70771889164</v>
      </c>
      <c r="N114" s="311">
        <f>VLOOKUP($E114,'2015 Appr staffing table'!$D:$S, 16, FALSE)</f>
        <v>54936.10978496309</v>
      </c>
      <c r="O114" s="123"/>
      <c r="P114" s="123"/>
      <c r="Q114" s="90">
        <v>1000</v>
      </c>
      <c r="R114" s="88">
        <v>1000</v>
      </c>
      <c r="S114" s="89">
        <v>5600</v>
      </c>
      <c r="T114" s="89"/>
      <c r="U114" s="89"/>
      <c r="V114" s="89">
        <v>12000</v>
      </c>
      <c r="W114" s="89">
        <v>1200</v>
      </c>
      <c r="X114" s="89">
        <v>800</v>
      </c>
      <c r="Y114" s="89">
        <v>700</v>
      </c>
      <c r="Z114" s="89">
        <v>1000</v>
      </c>
      <c r="AA114" s="89">
        <v>500</v>
      </c>
      <c r="AB114" s="123">
        <v>600</v>
      </c>
      <c r="AC114" s="181"/>
      <c r="AD114" s="184"/>
      <c r="AE114" s="184"/>
      <c r="AF114" s="184"/>
      <c r="AG114" s="420"/>
      <c r="AH114" s="10">
        <f t="shared" si="13"/>
        <v>258261.81750385475</v>
      </c>
      <c r="AI114" s="9">
        <f t="shared" si="14"/>
        <v>23400</v>
      </c>
      <c r="AJ114" s="202">
        <f t="shared" si="15"/>
        <v>281661.81750385475</v>
      </c>
    </row>
    <row r="115" spans="1:37" x14ac:dyDescent="0.3">
      <c r="A115" s="160">
        <f t="shared" si="22"/>
        <v>110</v>
      </c>
      <c r="B115" s="8" t="s">
        <v>279</v>
      </c>
      <c r="C115" s="8" t="s">
        <v>280</v>
      </c>
      <c r="D115" s="117" t="s">
        <v>423</v>
      </c>
      <c r="E115" s="11" t="s">
        <v>281</v>
      </c>
      <c r="F115" s="386">
        <f>VLOOKUP($E115,'2015 Appr staffing table'!$D:$K, F$1, FALSE)</f>
        <v>0</v>
      </c>
      <c r="G115" s="386">
        <f>VLOOKUP($E115,'2015 Appr staffing table'!$D:$K, G$1, FALSE)</f>
        <v>0</v>
      </c>
      <c r="H115" s="386">
        <f>VLOOKUP($E115,'2015 Appr staffing table'!$D:$K, H$1, FALSE)</f>
        <v>1</v>
      </c>
      <c r="I115" s="386">
        <f>VLOOKUP($E115,'2015 Appr staffing table'!$D:$K, I$1, FALSE)</f>
        <v>1</v>
      </c>
      <c r="J115" s="386">
        <f>VLOOKUP($E115,'2015 Appr staffing table'!$D:$K, J$1, FALSE)</f>
        <v>0</v>
      </c>
      <c r="K115" s="386">
        <f t="shared" si="12"/>
        <v>2</v>
      </c>
      <c r="L115" s="386">
        <f>VLOOKUP($E115,'2015 Appr staffing table'!$D:$K, L$1, FALSE)</f>
        <v>3</v>
      </c>
      <c r="M115" s="310">
        <f>VLOOKUP($E115,'2015 Appr staffing table'!$D:$S, 15, FALSE)</f>
        <v>341411.09896655515</v>
      </c>
      <c r="N115" s="311">
        <f>VLOOKUP($E115,'2015 Appr staffing table'!$D:$S, 16, FALSE)</f>
        <v>82128.765198591544</v>
      </c>
      <c r="O115" s="123"/>
      <c r="P115" s="123"/>
      <c r="Q115" s="90">
        <v>2000</v>
      </c>
      <c r="R115" s="88">
        <v>7000</v>
      </c>
      <c r="S115" s="89">
        <v>14700</v>
      </c>
      <c r="T115" s="89"/>
      <c r="U115" s="89"/>
      <c r="V115" s="89">
        <v>12000</v>
      </c>
      <c r="W115" s="89">
        <v>7000</v>
      </c>
      <c r="X115" s="89">
        <v>12000</v>
      </c>
      <c r="Y115" s="89">
        <v>700</v>
      </c>
      <c r="Z115" s="89">
        <v>300</v>
      </c>
      <c r="AA115" s="89">
        <v>500</v>
      </c>
      <c r="AB115" s="123">
        <v>500</v>
      </c>
      <c r="AC115" s="181"/>
      <c r="AD115" s="184"/>
      <c r="AE115" s="184"/>
      <c r="AF115" s="184"/>
      <c r="AG115" s="420"/>
      <c r="AH115" s="10">
        <f t="shared" si="13"/>
        <v>425539.86416514672</v>
      </c>
      <c r="AI115" s="9">
        <f t="shared" si="14"/>
        <v>54700</v>
      </c>
      <c r="AJ115" s="202">
        <f t="shared" si="15"/>
        <v>480239.86416514672</v>
      </c>
    </row>
    <row r="116" spans="1:37" x14ac:dyDescent="0.3">
      <c r="A116" s="160">
        <f t="shared" si="22"/>
        <v>111</v>
      </c>
      <c r="B116" s="8" t="s">
        <v>282</v>
      </c>
      <c r="C116" s="8" t="s">
        <v>283</v>
      </c>
      <c r="D116" s="8" t="s">
        <v>328</v>
      </c>
      <c r="E116" s="11" t="s">
        <v>284</v>
      </c>
      <c r="F116" s="386">
        <f>VLOOKUP($E116,'2015 Appr staffing table'!$D:$K, F$1, FALSE)</f>
        <v>0</v>
      </c>
      <c r="G116" s="386">
        <f>VLOOKUP($E116,'2015 Appr staffing table'!$D:$K, G$1, FALSE)</f>
        <v>0</v>
      </c>
      <c r="H116" s="386">
        <f>VLOOKUP($E116,'2015 Appr staffing table'!$D:$K, H$1, FALSE)</f>
        <v>1</v>
      </c>
      <c r="I116" s="386">
        <f>VLOOKUP($E116,'2015 Appr staffing table'!$D:$K, I$1, FALSE)</f>
        <v>1</v>
      </c>
      <c r="J116" s="386">
        <f>VLOOKUP($E116,'2015 Appr staffing table'!$D:$K, J$1, FALSE)</f>
        <v>0</v>
      </c>
      <c r="K116" s="386">
        <f t="shared" si="12"/>
        <v>2</v>
      </c>
      <c r="L116" s="386">
        <f>VLOOKUP($E116,'2015 Appr staffing table'!$D:$K, L$1, FALSE)</f>
        <v>3</v>
      </c>
      <c r="M116" s="310">
        <f>VLOOKUP($E116,'2015 Appr staffing table'!$D:$S, 15, FALSE)</f>
        <v>327130.49600003764</v>
      </c>
      <c r="N116" s="311">
        <f>VLOOKUP($E116,'2015 Appr staffing table'!$D:$S, 16, FALSE)</f>
        <v>98696.694119647233</v>
      </c>
      <c r="O116" s="123"/>
      <c r="P116" s="123"/>
      <c r="Q116" s="90">
        <v>1000</v>
      </c>
      <c r="R116" s="128">
        <v>20000</v>
      </c>
      <c r="S116" s="129">
        <v>42000</v>
      </c>
      <c r="T116" s="129"/>
      <c r="U116" s="129"/>
      <c r="V116" s="129">
        <v>4500</v>
      </c>
      <c r="W116" s="129">
        <v>1500</v>
      </c>
      <c r="X116" s="129">
        <v>4000</v>
      </c>
      <c r="Y116" s="129">
        <v>600</v>
      </c>
      <c r="Z116" s="129">
        <v>1000</v>
      </c>
      <c r="AA116" s="129">
        <v>500</v>
      </c>
      <c r="AB116" s="130">
        <v>1000</v>
      </c>
      <c r="AC116" s="181"/>
      <c r="AD116" s="184"/>
      <c r="AE116" s="184"/>
      <c r="AF116" s="184"/>
      <c r="AG116" s="420"/>
      <c r="AH116" s="10">
        <f t="shared" si="13"/>
        <v>426827.19011968491</v>
      </c>
      <c r="AI116" s="9">
        <f t="shared" si="14"/>
        <v>75100</v>
      </c>
      <c r="AJ116" s="202">
        <f t="shared" si="15"/>
        <v>501927.19011968491</v>
      </c>
    </row>
    <row r="117" spans="1:37" x14ac:dyDescent="0.3">
      <c r="A117" s="160">
        <f t="shared" si="22"/>
        <v>112</v>
      </c>
      <c r="B117" s="117" t="s">
        <v>408</v>
      </c>
      <c r="C117" s="117" t="s">
        <v>285</v>
      </c>
      <c r="D117" s="8" t="s">
        <v>329</v>
      </c>
      <c r="E117" s="11" t="s">
        <v>286</v>
      </c>
      <c r="F117" s="386">
        <f>VLOOKUP($E117,'2015 Appr staffing table'!$D:$K, F$1, FALSE)</f>
        <v>0</v>
      </c>
      <c r="G117" s="386">
        <f>VLOOKUP($E117,'2015 Appr staffing table'!$D:$K, G$1, FALSE)</f>
        <v>0</v>
      </c>
      <c r="H117" s="386">
        <f>VLOOKUP($E117,'2015 Appr staffing table'!$D:$K, H$1, FALSE)</f>
        <v>2</v>
      </c>
      <c r="I117" s="386">
        <f>VLOOKUP($E117,'2015 Appr staffing table'!$D:$K, I$1, FALSE)</f>
        <v>0</v>
      </c>
      <c r="J117" s="386">
        <f>VLOOKUP($E117,'2015 Appr staffing table'!$D:$K, J$1, FALSE)</f>
        <v>0</v>
      </c>
      <c r="K117" s="386">
        <f t="shared" si="12"/>
        <v>2</v>
      </c>
      <c r="L117" s="386">
        <f>VLOOKUP($E117,'2015 Appr staffing table'!$D:$K, L$1, FALSE)</f>
        <v>5</v>
      </c>
      <c r="M117" s="310">
        <f>VLOOKUP($E117,'2015 Appr staffing table'!$D:$S, 15, FALSE)</f>
        <v>419406.93971035001</v>
      </c>
      <c r="N117" s="311">
        <f>VLOOKUP($E117,'2015 Appr staffing table'!$D:$S, 16, FALSE)</f>
        <v>553184.47848308005</v>
      </c>
      <c r="O117" s="123"/>
      <c r="P117" s="123"/>
      <c r="Q117" s="90">
        <v>2500</v>
      </c>
      <c r="R117" s="128">
        <f>17000+10000</f>
        <v>27000</v>
      </c>
      <c r="S117" s="89">
        <f>8000+2000</f>
        <v>10000</v>
      </c>
      <c r="T117" s="89"/>
      <c r="U117" s="89">
        <v>58000</v>
      </c>
      <c r="V117" s="89">
        <f>30000+18000</f>
        <v>48000</v>
      </c>
      <c r="W117" s="129">
        <f>3000+2000</f>
        <v>5000</v>
      </c>
      <c r="X117" s="89">
        <f>19000+4000</f>
        <v>23000</v>
      </c>
      <c r="Y117" s="129">
        <f>5000+1500</f>
        <v>6500</v>
      </c>
      <c r="Z117" s="129">
        <v>1000</v>
      </c>
      <c r="AA117" s="129">
        <f>30000+500</f>
        <v>30500</v>
      </c>
      <c r="AB117" s="130">
        <f>25000+1500</f>
        <v>26500</v>
      </c>
      <c r="AC117" s="181">
        <v>220000</v>
      </c>
      <c r="AD117" s="184"/>
      <c r="AE117" s="184"/>
      <c r="AF117" s="184"/>
      <c r="AG117" s="420"/>
      <c r="AH117" s="10">
        <f t="shared" si="13"/>
        <v>975091.41819343006</v>
      </c>
      <c r="AI117" s="9">
        <f t="shared" si="14"/>
        <v>455500</v>
      </c>
      <c r="AJ117" s="135">
        <f t="shared" si="15"/>
        <v>1430591.4181934302</v>
      </c>
    </row>
    <row r="118" spans="1:37" x14ac:dyDescent="0.3">
      <c r="A118" s="160">
        <f t="shared" si="22"/>
        <v>113</v>
      </c>
      <c r="B118" s="117" t="s">
        <v>385</v>
      </c>
      <c r="C118" s="8" t="s">
        <v>264</v>
      </c>
      <c r="D118" s="117" t="s">
        <v>423</v>
      </c>
      <c r="E118" s="11" t="s">
        <v>265</v>
      </c>
      <c r="F118" s="386">
        <f>VLOOKUP($E118,'2015 Appr staffing table'!$D:$K, F$1, FALSE)</f>
        <v>0</v>
      </c>
      <c r="G118" s="386">
        <f>VLOOKUP($E118,'2015 Appr staffing table'!$D:$K, G$1, FALSE)</f>
        <v>0</v>
      </c>
      <c r="H118" s="386">
        <f>VLOOKUP($E118,'2015 Appr staffing table'!$D:$K, H$1, FALSE)</f>
        <v>1</v>
      </c>
      <c r="I118" s="386">
        <f>VLOOKUP($E118,'2015 Appr staffing table'!$D:$K, I$1, FALSE)</f>
        <v>1</v>
      </c>
      <c r="J118" s="386">
        <f>VLOOKUP($E118,'2015 Appr staffing table'!$D:$K, J$1, FALSE)</f>
        <v>0</v>
      </c>
      <c r="K118" s="386">
        <f t="shared" si="12"/>
        <v>2</v>
      </c>
      <c r="L118" s="386">
        <f>VLOOKUP($E118,'2015 Appr staffing table'!$D:$K, L$1, FALSE)</f>
        <v>3</v>
      </c>
      <c r="M118" s="310">
        <f>VLOOKUP($E118,'2015 Appr staffing table'!$D:$S, 15, FALSE)</f>
        <v>370925.86685506825</v>
      </c>
      <c r="N118" s="311">
        <f>VLOOKUP($E118,'2015 Appr staffing table'!$D:$S, 16, FALSE)</f>
        <v>76812.298112474178</v>
      </c>
      <c r="O118" s="123"/>
      <c r="P118" s="123"/>
      <c r="Q118" s="90">
        <v>1500</v>
      </c>
      <c r="R118" s="88">
        <v>13000</v>
      </c>
      <c r="S118" s="89">
        <v>10000</v>
      </c>
      <c r="T118" s="89"/>
      <c r="U118" s="89"/>
      <c r="V118" s="89">
        <v>7000</v>
      </c>
      <c r="W118" s="89">
        <v>4000</v>
      </c>
      <c r="X118" s="89">
        <v>5000</v>
      </c>
      <c r="Y118" s="89">
        <v>1400</v>
      </c>
      <c r="Z118" s="89">
        <v>1000</v>
      </c>
      <c r="AA118" s="89">
        <v>1000</v>
      </c>
      <c r="AB118" s="123">
        <v>500</v>
      </c>
      <c r="AC118" s="181"/>
      <c r="AD118" s="184"/>
      <c r="AE118" s="184"/>
      <c r="AF118" s="184"/>
      <c r="AG118" s="420"/>
      <c r="AH118" s="10">
        <f t="shared" si="13"/>
        <v>449238.1649675424</v>
      </c>
      <c r="AI118" s="9">
        <f t="shared" si="14"/>
        <v>42900</v>
      </c>
      <c r="AJ118" s="202">
        <f t="shared" si="15"/>
        <v>492138.1649675424</v>
      </c>
    </row>
    <row r="119" spans="1:37" x14ac:dyDescent="0.3">
      <c r="A119" s="160">
        <f t="shared" si="22"/>
        <v>114</v>
      </c>
      <c r="B119" s="8" t="s">
        <v>474</v>
      </c>
      <c r="C119" s="8" t="s">
        <v>475</v>
      </c>
      <c r="D119" s="8" t="s">
        <v>328</v>
      </c>
      <c r="E119" s="11" t="s">
        <v>346</v>
      </c>
      <c r="F119" s="386">
        <f>VLOOKUP($E119,'2015 Appr staffing table'!$D:$K, F$1, FALSE)</f>
        <v>0</v>
      </c>
      <c r="G119" s="386">
        <f>VLOOKUP($E119,'2015 Appr staffing table'!$D:$K, G$1, FALSE)</f>
        <v>0</v>
      </c>
      <c r="H119" s="386">
        <f>VLOOKUP($E119,'2015 Appr staffing table'!$D:$K, H$1, FALSE)</f>
        <v>0</v>
      </c>
      <c r="I119" s="386">
        <f>VLOOKUP($E119,'2015 Appr staffing table'!$D:$K, I$1, FALSE)</f>
        <v>0</v>
      </c>
      <c r="J119" s="386">
        <f>VLOOKUP($E119,'2015 Appr staffing table'!$D:$K, J$1, FALSE)</f>
        <v>0</v>
      </c>
      <c r="K119" s="386">
        <f t="shared" si="12"/>
        <v>0</v>
      </c>
      <c r="L119" s="386">
        <f>VLOOKUP($E119,'2015 Appr staffing table'!$D:$K, L$1, FALSE)</f>
        <v>1</v>
      </c>
      <c r="M119" s="310">
        <f>VLOOKUP($E119,'2015 Appr staffing table'!$D:$S, 15, FALSE)</f>
        <v>0</v>
      </c>
      <c r="N119" s="311">
        <f>VLOOKUP($E119,'2015 Appr staffing table'!$D:$S, 16, FALSE)</f>
        <v>68135.051133826462</v>
      </c>
      <c r="O119" s="123"/>
      <c r="P119" s="123"/>
      <c r="Q119" s="90"/>
      <c r="R119" s="88"/>
      <c r="S119" s="89"/>
      <c r="T119" s="89"/>
      <c r="U119" s="89"/>
      <c r="V119" s="89"/>
      <c r="W119" s="89"/>
      <c r="X119" s="89"/>
      <c r="Y119" s="89"/>
      <c r="Z119" s="89"/>
      <c r="AA119" s="89"/>
      <c r="AB119" s="123"/>
      <c r="AC119" s="181"/>
      <c r="AD119" s="184"/>
      <c r="AE119" s="184"/>
      <c r="AF119" s="184"/>
      <c r="AG119" s="420"/>
      <c r="AH119" s="10">
        <f t="shared" si="13"/>
        <v>68135.051133826462</v>
      </c>
      <c r="AI119" s="9">
        <f t="shared" si="14"/>
        <v>0</v>
      </c>
      <c r="AJ119" s="202">
        <f t="shared" si="15"/>
        <v>68135.051133826462</v>
      </c>
    </row>
    <row r="120" spans="1:37" x14ac:dyDescent="0.3">
      <c r="A120" s="160">
        <f t="shared" si="22"/>
        <v>115</v>
      </c>
      <c r="B120" s="8" t="s">
        <v>287</v>
      </c>
      <c r="C120" s="8" t="s">
        <v>288</v>
      </c>
      <c r="D120" s="8" t="s">
        <v>327</v>
      </c>
      <c r="E120" s="11" t="s">
        <v>289</v>
      </c>
      <c r="F120" s="386">
        <f>VLOOKUP($E120,'2015 Appr staffing table'!$D:$K, F$1, FALSE)</f>
        <v>0</v>
      </c>
      <c r="G120" s="386">
        <f>VLOOKUP($E120,'2015 Appr staffing table'!$D:$K, G$1, FALSE)</f>
        <v>0</v>
      </c>
      <c r="H120" s="386">
        <f>VLOOKUP($E120,'2015 Appr staffing table'!$D:$K, H$1, FALSE)</f>
        <v>1</v>
      </c>
      <c r="I120" s="386">
        <f>VLOOKUP($E120,'2015 Appr staffing table'!$D:$K, I$1, FALSE)</f>
        <v>0</v>
      </c>
      <c r="J120" s="386">
        <f>VLOOKUP($E120,'2015 Appr staffing table'!$D:$K, J$1, FALSE)</f>
        <v>0</v>
      </c>
      <c r="K120" s="386">
        <f t="shared" si="12"/>
        <v>1</v>
      </c>
      <c r="L120" s="386">
        <f>VLOOKUP($E120,'2015 Appr staffing table'!$D:$K, L$1, FALSE)</f>
        <v>2</v>
      </c>
      <c r="M120" s="310">
        <f>VLOOKUP($E120,'2015 Appr staffing table'!$D:$S, 15, FALSE)</f>
        <v>189468.74831370835</v>
      </c>
      <c r="N120" s="311">
        <f>VLOOKUP($E120,'2015 Appr staffing table'!$D:$S, 16, FALSE)</f>
        <v>42900.270453895238</v>
      </c>
      <c r="O120" s="123"/>
      <c r="P120" s="123"/>
      <c r="Q120" s="90">
        <f>1000+800</f>
        <v>1800</v>
      </c>
      <c r="R120" s="88">
        <v>3000</v>
      </c>
      <c r="S120" s="89"/>
      <c r="T120" s="89"/>
      <c r="U120" s="89"/>
      <c r="V120" s="89">
        <v>4500</v>
      </c>
      <c r="W120" s="89">
        <v>1000</v>
      </c>
      <c r="X120" s="89">
        <v>2200</v>
      </c>
      <c r="Y120" s="89">
        <v>700</v>
      </c>
      <c r="Z120" s="89">
        <v>1000</v>
      </c>
      <c r="AA120" s="89">
        <v>500</v>
      </c>
      <c r="AB120" s="123">
        <v>1000</v>
      </c>
      <c r="AC120" s="181"/>
      <c r="AD120" s="184"/>
      <c r="AE120" s="184"/>
      <c r="AF120" s="184"/>
      <c r="AG120" s="420"/>
      <c r="AH120" s="10">
        <f t="shared" si="13"/>
        <v>234169.01876760359</v>
      </c>
      <c r="AI120" s="9">
        <f t="shared" si="14"/>
        <v>13900</v>
      </c>
      <c r="AJ120" s="202">
        <f t="shared" si="15"/>
        <v>248069.01876760359</v>
      </c>
    </row>
    <row r="121" spans="1:37" x14ac:dyDescent="0.3">
      <c r="A121" s="160">
        <f t="shared" si="22"/>
        <v>116</v>
      </c>
      <c r="B121" s="8" t="s">
        <v>290</v>
      </c>
      <c r="C121" s="8" t="s">
        <v>291</v>
      </c>
      <c r="D121" s="8" t="s">
        <v>328</v>
      </c>
      <c r="E121" s="11" t="s">
        <v>292</v>
      </c>
      <c r="F121" s="386">
        <f>VLOOKUP($E121,'2015 Appr staffing table'!$D:$K, F$1, FALSE)</f>
        <v>0</v>
      </c>
      <c r="G121" s="386">
        <f>VLOOKUP($E121,'2015 Appr staffing table'!$D:$K, G$1, FALSE)</f>
        <v>0</v>
      </c>
      <c r="H121" s="386">
        <f>VLOOKUP($E121,'2015 Appr staffing table'!$D:$K, H$1, FALSE)</f>
        <v>1</v>
      </c>
      <c r="I121" s="386">
        <f>VLOOKUP($E121,'2015 Appr staffing table'!$D:$K, I$1, FALSE)</f>
        <v>0</v>
      </c>
      <c r="J121" s="386">
        <f>VLOOKUP($E121,'2015 Appr staffing table'!$D:$K, J$1, FALSE)</f>
        <v>0</v>
      </c>
      <c r="K121" s="386">
        <f t="shared" si="12"/>
        <v>1</v>
      </c>
      <c r="L121" s="386">
        <f>VLOOKUP($E121,'2015 Appr staffing table'!$D:$K, L$1, FALSE)</f>
        <v>2</v>
      </c>
      <c r="M121" s="310">
        <f>VLOOKUP($E121,'2015 Appr staffing table'!$D:$S, 15, FALSE)</f>
        <v>245409.86609497503</v>
      </c>
      <c r="N121" s="311">
        <f>VLOOKUP($E121,'2015 Appr staffing table'!$D:$S, 16, FALSE)</f>
        <v>174368.90359678195</v>
      </c>
      <c r="O121" s="123"/>
      <c r="P121" s="123"/>
      <c r="Q121" s="90">
        <v>1000</v>
      </c>
      <c r="R121" s="88">
        <v>9400</v>
      </c>
      <c r="S121" s="89">
        <v>26000</v>
      </c>
      <c r="T121" s="89"/>
      <c r="U121" s="89"/>
      <c r="V121" s="89">
        <v>5000</v>
      </c>
      <c r="W121" s="129">
        <v>6400</v>
      </c>
      <c r="X121" s="89">
        <f>100-100</f>
        <v>0</v>
      </c>
      <c r="Y121" s="89">
        <v>2000</v>
      </c>
      <c r="Z121" s="89">
        <v>500</v>
      </c>
      <c r="AA121" s="89">
        <v>500</v>
      </c>
      <c r="AB121" s="123">
        <v>2000</v>
      </c>
      <c r="AC121" s="181"/>
      <c r="AD121" s="184"/>
      <c r="AE121" s="184"/>
      <c r="AF121" s="184"/>
      <c r="AG121" s="420"/>
      <c r="AH121" s="10">
        <f t="shared" si="13"/>
        <v>420778.76969175698</v>
      </c>
      <c r="AI121" s="9">
        <f t="shared" si="14"/>
        <v>51800</v>
      </c>
      <c r="AJ121" s="202">
        <f t="shared" si="15"/>
        <v>472578.76969175698</v>
      </c>
    </row>
    <row r="122" spans="1:37" x14ac:dyDescent="0.3">
      <c r="A122" s="160">
        <f t="shared" si="22"/>
        <v>117</v>
      </c>
      <c r="B122" s="117" t="s">
        <v>401</v>
      </c>
      <c r="C122" s="8" t="s">
        <v>293</v>
      </c>
      <c r="D122" s="8" t="s">
        <v>327</v>
      </c>
      <c r="E122" s="11" t="s">
        <v>294</v>
      </c>
      <c r="F122" s="386">
        <f>VLOOKUP($E122,'2015 Appr staffing table'!$D:$K, F$1, FALSE)</f>
        <v>0</v>
      </c>
      <c r="G122" s="386">
        <f>VLOOKUP($E122,'2015 Appr staffing table'!$D:$K, G$1, FALSE)</f>
        <v>0</v>
      </c>
      <c r="H122" s="386">
        <f>VLOOKUP($E122,'2015 Appr staffing table'!$D:$K, H$1, FALSE)</f>
        <v>1</v>
      </c>
      <c r="I122" s="386">
        <f>VLOOKUP($E122,'2015 Appr staffing table'!$D:$K, I$1, FALSE)</f>
        <v>0</v>
      </c>
      <c r="J122" s="386">
        <f>VLOOKUP($E122,'2015 Appr staffing table'!$D:$K, J$1, FALSE)</f>
        <v>0</v>
      </c>
      <c r="K122" s="386">
        <f t="shared" si="12"/>
        <v>1</v>
      </c>
      <c r="L122" s="386">
        <f>VLOOKUP($E122,'2015 Appr staffing table'!$D:$K, L$1, FALSE)</f>
        <v>2</v>
      </c>
      <c r="M122" s="310">
        <f>VLOOKUP($E122,'2015 Appr staffing table'!$D:$S, 15, FALSE)</f>
        <v>180687.5187738667</v>
      </c>
      <c r="N122" s="311">
        <f>VLOOKUP($E122,'2015 Appr staffing table'!$D:$S, 16, FALSE)</f>
        <v>53219.49480351169</v>
      </c>
      <c r="O122" s="123"/>
      <c r="P122" s="123"/>
      <c r="Q122" s="90">
        <v>1000</v>
      </c>
      <c r="R122" s="88">
        <f>5000+3500</f>
        <v>8500</v>
      </c>
      <c r="S122" s="89">
        <v>10000</v>
      </c>
      <c r="T122" s="89"/>
      <c r="U122" s="89"/>
      <c r="V122" s="89">
        <v>6000</v>
      </c>
      <c r="W122" s="89">
        <v>1000</v>
      </c>
      <c r="X122" s="89">
        <f>1500-1000</f>
        <v>500</v>
      </c>
      <c r="Y122" s="89">
        <v>700</v>
      </c>
      <c r="Z122" s="89">
        <v>1000</v>
      </c>
      <c r="AA122" s="89">
        <v>500</v>
      </c>
      <c r="AB122" s="123">
        <v>500</v>
      </c>
      <c r="AC122" s="181"/>
      <c r="AD122" s="184"/>
      <c r="AE122" s="184"/>
      <c r="AF122" s="184"/>
      <c r="AG122" s="420"/>
      <c r="AH122" s="10">
        <f t="shared" si="13"/>
        <v>234907.01357737838</v>
      </c>
      <c r="AI122" s="9">
        <f t="shared" si="14"/>
        <v>28700</v>
      </c>
      <c r="AJ122" s="202">
        <f t="shared" si="15"/>
        <v>263607.01357737835</v>
      </c>
    </row>
    <row r="123" spans="1:37" x14ac:dyDescent="0.3">
      <c r="A123" s="160">
        <f t="shared" si="22"/>
        <v>118</v>
      </c>
      <c r="B123" s="266" t="s">
        <v>386</v>
      </c>
      <c r="C123" s="267" t="s">
        <v>298</v>
      </c>
      <c r="D123" s="285" t="s">
        <v>423</v>
      </c>
      <c r="E123" s="267" t="s">
        <v>299</v>
      </c>
      <c r="F123" s="391">
        <f>VLOOKUP($E123,'2015 Appr staffing table'!$D:$K, F$1, FALSE)</f>
        <v>0</v>
      </c>
      <c r="G123" s="391">
        <f>VLOOKUP($E123,'2015 Appr staffing table'!$D:$K, G$1, FALSE)</f>
        <v>0</v>
      </c>
      <c r="H123" s="391">
        <f>VLOOKUP($E123,'2015 Appr staffing table'!$D:$K, H$1, FALSE)</f>
        <v>1</v>
      </c>
      <c r="I123" s="391">
        <f>VLOOKUP($E123,'2015 Appr staffing table'!$D:$K, I$1, FALSE)</f>
        <v>0</v>
      </c>
      <c r="J123" s="391">
        <f>VLOOKUP($E123,'2015 Appr staffing table'!$D:$K, J$1, FALSE)</f>
        <v>0</v>
      </c>
      <c r="K123" s="391">
        <f t="shared" si="12"/>
        <v>1</v>
      </c>
      <c r="L123" s="391">
        <f>VLOOKUP($E123,'2015 Appr staffing table'!$D:$K, L$1, FALSE)</f>
        <v>3</v>
      </c>
      <c r="M123" s="315">
        <f>VLOOKUP($E123,'2015 Appr staffing table'!$D:$S, 15, FALSE)</f>
        <v>191574.21704218333</v>
      </c>
      <c r="N123" s="316">
        <f>VLOOKUP($E123,'2015 Appr staffing table'!$D:$S, 16, FALSE)</f>
        <v>136384.80704604948</v>
      </c>
      <c r="O123" s="269"/>
      <c r="P123" s="268"/>
      <c r="Q123" s="270">
        <v>1500</v>
      </c>
      <c r="R123" s="128">
        <v>7000</v>
      </c>
      <c r="S123" s="326">
        <v>22000</v>
      </c>
      <c r="T123" s="326"/>
      <c r="U123" s="326"/>
      <c r="V123" s="326">
        <v>21000</v>
      </c>
      <c r="W123" s="129">
        <v>2000</v>
      </c>
      <c r="X123" s="326">
        <v>2500</v>
      </c>
      <c r="Y123" s="129">
        <v>700</v>
      </c>
      <c r="Z123" s="129">
        <v>1000</v>
      </c>
      <c r="AA123" s="129">
        <v>1000</v>
      </c>
      <c r="AB123" s="130">
        <v>2200</v>
      </c>
      <c r="AC123" s="271"/>
      <c r="AD123" s="268"/>
      <c r="AE123" s="268"/>
      <c r="AF123" s="268"/>
      <c r="AG123" s="270"/>
      <c r="AH123" s="272">
        <f t="shared" si="13"/>
        <v>329459.02408823278</v>
      </c>
      <c r="AI123" s="9">
        <f t="shared" si="14"/>
        <v>59400</v>
      </c>
      <c r="AJ123" s="289">
        <f t="shared" si="15"/>
        <v>388859.02408823278</v>
      </c>
    </row>
    <row r="124" spans="1:37" ht="15.75" thickBot="1" x14ac:dyDescent="0.35">
      <c r="A124" s="160">
        <f t="shared" si="22"/>
        <v>119</v>
      </c>
      <c r="B124" s="290" t="s">
        <v>387</v>
      </c>
      <c r="C124" s="291" t="s">
        <v>300</v>
      </c>
      <c r="D124" s="292" t="s">
        <v>423</v>
      </c>
      <c r="E124" s="293" t="s">
        <v>301</v>
      </c>
      <c r="F124" s="392">
        <f>VLOOKUP($E124,'2015 Appr staffing table'!$D:$K, F$1, FALSE)</f>
        <v>0</v>
      </c>
      <c r="G124" s="392">
        <f>VLOOKUP($E124,'2015 Appr staffing table'!$D:$K, G$1, FALSE)</f>
        <v>0</v>
      </c>
      <c r="H124" s="392">
        <f>VLOOKUP($E124,'2015 Appr staffing table'!$D:$K, H$1, FALSE)</f>
        <v>1</v>
      </c>
      <c r="I124" s="392">
        <f>VLOOKUP($E124,'2015 Appr staffing table'!$D:$K, I$1, FALSE)</f>
        <v>1</v>
      </c>
      <c r="J124" s="392">
        <f>VLOOKUP($E124,'2015 Appr staffing table'!$D:$K, J$1, FALSE)</f>
        <v>0</v>
      </c>
      <c r="K124" s="392">
        <f t="shared" si="12"/>
        <v>2</v>
      </c>
      <c r="L124" s="392">
        <f>VLOOKUP($E124,'2015 Appr staffing table'!$D:$K, L$1, FALSE)</f>
        <v>3</v>
      </c>
      <c r="M124" s="317">
        <f>VLOOKUP($E124,'2015 Appr staffing table'!$D:$S, 15, FALSE)</f>
        <v>362051.50893939193</v>
      </c>
      <c r="N124" s="318">
        <f>VLOOKUP($E124,'2015 Appr staffing table'!$D:$S, 16, FALSE)</f>
        <v>136315.84601406311</v>
      </c>
      <c r="O124" s="124"/>
      <c r="P124" s="121"/>
      <c r="Q124" s="122">
        <v>1500</v>
      </c>
      <c r="R124" s="423">
        <v>10000</v>
      </c>
      <c r="S124" s="331">
        <v>36200</v>
      </c>
      <c r="T124" s="91"/>
      <c r="U124" s="91"/>
      <c r="V124" s="91">
        <v>18200</v>
      </c>
      <c r="W124" s="91">
        <v>4000</v>
      </c>
      <c r="X124" s="91">
        <v>6500</v>
      </c>
      <c r="Y124" s="91">
        <v>2000</v>
      </c>
      <c r="Z124" s="91">
        <v>1000</v>
      </c>
      <c r="AA124" s="91">
        <v>1000</v>
      </c>
      <c r="AB124" s="91">
        <v>1700</v>
      </c>
      <c r="AC124" s="91"/>
      <c r="AD124" s="91"/>
      <c r="AE124" s="91"/>
      <c r="AF124" s="91"/>
      <c r="AG124" s="424"/>
      <c r="AH124" s="415">
        <f t="shared" si="13"/>
        <v>499867.35495345504</v>
      </c>
      <c r="AI124" s="91">
        <f t="shared" si="14"/>
        <v>80600</v>
      </c>
      <c r="AJ124" s="206">
        <f t="shared" si="15"/>
        <v>580467.35495345504</v>
      </c>
    </row>
    <row r="125" spans="1:37" s="295" customFormat="1" ht="15.75" thickBot="1" x14ac:dyDescent="0.35">
      <c r="A125" s="296"/>
      <c r="B125" s="297"/>
      <c r="C125" s="297" t="s">
        <v>532</v>
      </c>
      <c r="D125" s="297" t="s">
        <v>532</v>
      </c>
      <c r="E125" s="297" t="s">
        <v>532</v>
      </c>
      <c r="F125" s="319">
        <f>SUM(F5:F124)-F105</f>
        <v>4</v>
      </c>
      <c r="G125" s="319">
        <f t="shared" ref="G125:L125" si="23">SUM(G5:G124)-G105</f>
        <v>22</v>
      </c>
      <c r="H125" s="319">
        <f t="shared" si="23"/>
        <v>166</v>
      </c>
      <c r="I125" s="319">
        <f t="shared" si="23"/>
        <v>94</v>
      </c>
      <c r="J125" s="319">
        <f t="shared" si="23"/>
        <v>6</v>
      </c>
      <c r="K125" s="319">
        <f t="shared" si="23"/>
        <v>292</v>
      </c>
      <c r="L125" s="319">
        <f t="shared" si="23"/>
        <v>405</v>
      </c>
      <c r="M125" s="320">
        <f>SUM(M5:M124)-M105</f>
        <v>60928235.27280391</v>
      </c>
      <c r="N125" s="320">
        <f t="shared" ref="N125:AJ125" si="24">SUM(N5:N124)-N105</f>
        <v>14779113.40173055</v>
      </c>
      <c r="O125" s="399">
        <f t="shared" si="24"/>
        <v>0</v>
      </c>
      <c r="P125" s="399">
        <f t="shared" si="24"/>
        <v>0</v>
      </c>
      <c r="Q125" s="399">
        <f t="shared" si="24"/>
        <v>198300</v>
      </c>
      <c r="R125" s="298">
        <f t="shared" ref="R125" si="25">SUM(R5:R124)-R105</f>
        <v>1694900</v>
      </c>
      <c r="S125" s="298">
        <f t="shared" ref="S125" si="26">SUM(S5:S124)-S105</f>
        <v>3626380</v>
      </c>
      <c r="T125" s="298">
        <f t="shared" si="24"/>
        <v>0</v>
      </c>
      <c r="U125" s="298">
        <f t="shared" si="24"/>
        <v>66000</v>
      </c>
      <c r="V125" s="298">
        <f t="shared" si="24"/>
        <v>1474350</v>
      </c>
      <c r="W125" s="298">
        <f t="shared" ref="W125" si="27">SUM(W5:W124)-W105</f>
        <v>556000</v>
      </c>
      <c r="X125" s="298">
        <f t="shared" ref="X125" si="28">SUM(X5:X124)-X105</f>
        <v>664050</v>
      </c>
      <c r="Y125" s="298">
        <f t="shared" ref="Y125:AB125" si="29">SUM(Y5:Y124)-Y105</f>
        <v>224100</v>
      </c>
      <c r="Z125" s="298">
        <f t="shared" si="29"/>
        <v>122400</v>
      </c>
      <c r="AA125" s="298">
        <f t="shared" si="29"/>
        <v>191500</v>
      </c>
      <c r="AB125" s="298">
        <f t="shared" si="29"/>
        <v>249550</v>
      </c>
      <c r="AC125" s="298">
        <f t="shared" si="24"/>
        <v>220000</v>
      </c>
      <c r="AD125" s="298">
        <f t="shared" si="24"/>
        <v>4600</v>
      </c>
      <c r="AE125" s="298">
        <f t="shared" si="24"/>
        <v>0</v>
      </c>
      <c r="AF125" s="298">
        <f t="shared" si="24"/>
        <v>0</v>
      </c>
      <c r="AG125" s="425">
        <f t="shared" si="24"/>
        <v>0</v>
      </c>
      <c r="AH125" s="416">
        <f t="shared" si="24"/>
        <v>75905648.67453438</v>
      </c>
      <c r="AI125" s="298">
        <f t="shared" si="24"/>
        <v>9093830</v>
      </c>
      <c r="AJ125" s="298">
        <f t="shared" si="24"/>
        <v>84999478.674534395</v>
      </c>
      <c r="AK125" s="327"/>
    </row>
    <row r="126" spans="1:37" x14ac:dyDescent="0.3">
      <c r="E126" s="12"/>
      <c r="F126" s="321"/>
      <c r="G126" s="321"/>
      <c r="H126" s="321"/>
      <c r="I126" s="321"/>
      <c r="J126" s="321"/>
      <c r="K126" s="321"/>
      <c r="L126" s="321"/>
      <c r="M126" s="321"/>
      <c r="N126" s="322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1:37" x14ac:dyDescent="0.3">
      <c r="C127" s="15"/>
      <c r="F127" s="323"/>
      <c r="G127" s="323"/>
      <c r="H127" s="323"/>
      <c r="I127" s="323"/>
      <c r="J127" s="323"/>
      <c r="K127" s="323"/>
      <c r="L127" s="323"/>
      <c r="M127" s="322"/>
      <c r="N127" s="322"/>
      <c r="O127" s="14"/>
      <c r="P127" s="14"/>
      <c r="Q127" s="14"/>
      <c r="R127" s="13"/>
      <c r="S127" s="14"/>
      <c r="T127" s="14"/>
      <c r="U127" s="14"/>
      <c r="V127" s="14"/>
      <c r="W127" s="13"/>
      <c r="X127" s="14"/>
      <c r="Y127" s="13"/>
      <c r="Z127" s="13"/>
      <c r="AA127" s="13"/>
      <c r="AB127" s="13"/>
      <c r="AC127" s="14"/>
      <c r="AD127" s="14"/>
      <c r="AE127" s="14"/>
      <c r="AF127" s="14"/>
      <c r="AG127" s="14"/>
      <c r="AH127" s="14"/>
      <c r="AI127" s="14"/>
      <c r="AJ127" s="207"/>
    </row>
    <row r="128" spans="1:37" x14ac:dyDescent="0.3">
      <c r="M128" s="324"/>
      <c r="N128" s="324"/>
      <c r="O128" s="159"/>
      <c r="P128" s="159"/>
      <c r="R128" s="14"/>
      <c r="V128" s="87"/>
      <c r="W128" s="14"/>
      <c r="Y128" s="14"/>
      <c r="Z128" s="14"/>
      <c r="AA128" s="14"/>
      <c r="AB128" s="14"/>
      <c r="AC128" s="87"/>
      <c r="AD128" s="87"/>
      <c r="AE128" s="87"/>
      <c r="AF128" s="87"/>
      <c r="AG128" s="87"/>
      <c r="AI128" s="112"/>
      <c r="AJ128" s="208"/>
    </row>
    <row r="129" spans="13:36" x14ac:dyDescent="0.3">
      <c r="M129" s="325"/>
      <c r="N129" s="325"/>
      <c r="O129" s="159"/>
      <c r="P129" s="159"/>
      <c r="V129" s="87"/>
      <c r="W129" s="87"/>
      <c r="Y129" s="87"/>
      <c r="Z129" s="87"/>
      <c r="AA129" s="87"/>
      <c r="AB129" s="87"/>
      <c r="AC129" s="87"/>
      <c r="AD129" s="87"/>
      <c r="AE129" s="87"/>
      <c r="AF129" s="87"/>
      <c r="AG129" s="87"/>
    </row>
    <row r="130" spans="13:36" x14ac:dyDescent="0.3">
      <c r="W130" s="87"/>
      <c r="Y130" s="87"/>
      <c r="Z130" s="87"/>
      <c r="AA130" s="87"/>
      <c r="AB130" s="87"/>
    </row>
    <row r="132" spans="13:36" x14ac:dyDescent="0.3">
      <c r="AJ132" s="208"/>
    </row>
  </sheetData>
  <autoFilter ref="C4:AJ125"/>
  <mergeCells count="1">
    <mergeCell ref="M3:Q3"/>
  </mergeCells>
  <pageMargins left="0" right="0" top="0.25" bottom="0" header="4.9999999999999996E-2" footer="0"/>
  <pageSetup paperSize="5" scale="4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workbookViewId="0">
      <pane xSplit="4" ySplit="2" topLeftCell="E87" activePane="bottomRight" state="frozen"/>
      <selection pane="topRight" activeCell="E1" sqref="E1"/>
      <selection pane="bottomLeft" activeCell="A3" sqref="A3"/>
      <selection pane="bottomRight" activeCell="P101" sqref="P101"/>
    </sheetView>
  </sheetViews>
  <sheetFormatPr defaultRowHeight="15" x14ac:dyDescent="0.3"/>
  <cols>
    <col min="2" max="2" width="29.85546875" bestFit="1" customWidth="1"/>
    <col min="3" max="3" width="18.28515625" bestFit="1" customWidth="1"/>
    <col min="4" max="4" width="12.85546875" bestFit="1" customWidth="1"/>
    <col min="5" max="9" width="7.7109375" customWidth="1"/>
    <col min="10" max="10" width="7.7109375" style="295" customWidth="1"/>
    <col min="11" max="11" width="7.7109375" customWidth="1"/>
    <col min="12" max="12" width="4.28515625" customWidth="1"/>
    <col min="13" max="13" width="14.140625" style="147" customWidth="1"/>
    <col min="14" max="14" width="13.42578125" style="147" customWidth="1"/>
    <col min="15" max="16" width="15.28515625" style="147" customWidth="1"/>
    <col min="17" max="17" width="13.85546875" style="147" customWidth="1"/>
    <col min="18" max="18" width="14.140625" style="147" customWidth="1"/>
    <col min="19" max="19" width="14.28515625" style="147" customWidth="1"/>
  </cols>
  <sheetData>
    <row r="1" spans="1:19" ht="18" thickBot="1" x14ac:dyDescent="0.35">
      <c r="A1" s="384" t="s">
        <v>605</v>
      </c>
      <c r="N1" s="96"/>
      <c r="O1" s="96"/>
      <c r="P1" s="96"/>
      <c r="Q1" s="96"/>
      <c r="R1" s="96"/>
      <c r="S1" s="96"/>
    </row>
    <row r="2" spans="1:19" ht="15.75" thickBot="1" x14ac:dyDescent="0.35">
      <c r="A2" s="365"/>
      <c r="B2" s="366" t="s">
        <v>602</v>
      </c>
      <c r="C2" s="366" t="s">
        <v>534</v>
      </c>
      <c r="D2" s="367" t="s">
        <v>592</v>
      </c>
      <c r="E2" s="360" t="s">
        <v>362</v>
      </c>
      <c r="F2" s="355" t="s">
        <v>304</v>
      </c>
      <c r="G2" s="355" t="s">
        <v>305</v>
      </c>
      <c r="H2" s="355" t="s">
        <v>306</v>
      </c>
      <c r="I2" s="355" t="s">
        <v>307</v>
      </c>
      <c r="J2" s="355" t="s">
        <v>340</v>
      </c>
      <c r="K2" s="355" t="s">
        <v>1</v>
      </c>
      <c r="L2" s="356"/>
      <c r="M2" s="357" t="s">
        <v>362</v>
      </c>
      <c r="N2" s="358" t="s">
        <v>304</v>
      </c>
      <c r="O2" s="358" t="s">
        <v>606</v>
      </c>
      <c r="P2" s="358" t="s">
        <v>308</v>
      </c>
      <c r="Q2" s="358" t="s">
        <v>309</v>
      </c>
      <c r="R2" s="358" t="s">
        <v>310</v>
      </c>
      <c r="S2" s="359" t="s">
        <v>1</v>
      </c>
    </row>
    <row r="3" spans="1:19" x14ac:dyDescent="0.3">
      <c r="A3" s="368">
        <v>1</v>
      </c>
      <c r="B3" s="369" t="s">
        <v>23</v>
      </c>
      <c r="C3" s="369" t="s">
        <v>22</v>
      </c>
      <c r="D3" s="370" t="s">
        <v>24</v>
      </c>
      <c r="E3" s="361">
        <v>1</v>
      </c>
      <c r="F3" s="103"/>
      <c r="G3" s="103">
        <v>7</v>
      </c>
      <c r="H3" s="103">
        <v>5</v>
      </c>
      <c r="I3" s="103"/>
      <c r="J3" s="349">
        <f>SUM(E3:I3)</f>
        <v>13</v>
      </c>
      <c r="K3" s="103">
        <v>16</v>
      </c>
      <c r="L3" s="106"/>
      <c r="M3" s="350">
        <f>VLOOKUP($C3,'2015 ProForma'!$A:$G, 2, FALSE)*E3</f>
        <v>323185.46168932848</v>
      </c>
      <c r="N3" s="351">
        <f>VLOOKUP($C3,'2015 ProForma'!$A:$G, 3, FALSE)*F3</f>
        <v>0</v>
      </c>
      <c r="O3" s="351">
        <f>VLOOKUP($C3,'2015 ProForma'!$A:$G, 4, FALSE)*G3</f>
        <v>1814022.6614228834</v>
      </c>
      <c r="P3" s="351">
        <f>VLOOKUP($C3,'2015 ProForma'!$A:$G, 5, FALSE)*H3</f>
        <v>1136121.7513918292</v>
      </c>
      <c r="Q3" s="351">
        <f>VLOOKUP($C3,'2015 ProForma'!$A:$G, 6, FALSE)*I3</f>
        <v>0</v>
      </c>
      <c r="R3" s="352">
        <f>SUM(M3:Q3)</f>
        <v>3273329.8745040409</v>
      </c>
      <c r="S3" s="353">
        <f>VLOOKUP($C3,'2015 ProForma'!$A:$G, 7, FALSE)*K3</f>
        <v>758982.29875892843</v>
      </c>
    </row>
    <row r="4" spans="1:19" x14ac:dyDescent="0.3">
      <c r="A4" s="371">
        <v>2</v>
      </c>
      <c r="B4" s="372" t="s">
        <v>26</v>
      </c>
      <c r="C4" s="372" t="s">
        <v>25</v>
      </c>
      <c r="D4" s="373" t="s">
        <v>27</v>
      </c>
      <c r="E4" s="362"/>
      <c r="F4" s="16"/>
      <c r="G4" s="16"/>
      <c r="H4" s="16"/>
      <c r="I4" s="16"/>
      <c r="J4" s="337">
        <f t="shared" ref="J4:J67" si="0">SUM(E4:I4)</f>
        <v>0</v>
      </c>
      <c r="K4" s="16">
        <v>1</v>
      </c>
      <c r="L4" s="93"/>
      <c r="M4" s="346">
        <f>VLOOKUP($C4,'2015 ProForma'!$A:$G, 2, FALSE)*E4</f>
        <v>0</v>
      </c>
      <c r="N4" s="338">
        <f>VLOOKUP($C4,'2015 ProForma'!$A:$G, 3, FALSE)*F4</f>
        <v>0</v>
      </c>
      <c r="O4" s="338">
        <f>VLOOKUP($C4,'2015 ProForma'!$A:$G, 4, FALSE)*G4</f>
        <v>0</v>
      </c>
      <c r="P4" s="338">
        <f>VLOOKUP($C4,'2015 ProForma'!$A:$G, 5, FALSE)*H4</f>
        <v>0</v>
      </c>
      <c r="Q4" s="338">
        <f>VLOOKUP($C4,'2015 ProForma'!$A:$G, 6, FALSE)*I4</f>
        <v>0</v>
      </c>
      <c r="R4" s="339">
        <f t="shared" ref="R4:R67" si="1">SUM(M4:Q4)</f>
        <v>0</v>
      </c>
      <c r="S4" s="340">
        <f>VLOOKUP($C4,'2015 ProForma'!$A:$G, 7, FALSE)*K4</f>
        <v>26752.264001027892</v>
      </c>
    </row>
    <row r="5" spans="1:19" x14ac:dyDescent="0.3">
      <c r="A5" s="371">
        <v>3</v>
      </c>
      <c r="B5" s="372" t="s">
        <v>28</v>
      </c>
      <c r="C5" s="372" t="s">
        <v>402</v>
      </c>
      <c r="D5" s="373" t="s">
        <v>29</v>
      </c>
      <c r="E5" s="362"/>
      <c r="F5" s="16"/>
      <c r="G5" s="16">
        <v>2</v>
      </c>
      <c r="H5" s="16"/>
      <c r="I5" s="16"/>
      <c r="J5" s="337">
        <f t="shared" si="0"/>
        <v>2</v>
      </c>
      <c r="K5" s="16">
        <v>3</v>
      </c>
      <c r="L5" s="93"/>
      <c r="M5" s="346">
        <f>VLOOKUP($C5,'2015 ProForma'!$A:$G, 2, FALSE)*E5</f>
        <v>0</v>
      </c>
      <c r="N5" s="338">
        <f>VLOOKUP($C5,'2015 ProForma'!$A:$G, 3, FALSE)*F5</f>
        <v>0</v>
      </c>
      <c r="O5" s="338">
        <f>VLOOKUP($C5,'2015 ProForma'!$A:$G, 4, FALSE)*G5</f>
        <v>396753.05317419989</v>
      </c>
      <c r="P5" s="338">
        <f>VLOOKUP($C5,'2015 ProForma'!$A:$G, 5, FALSE)*H5</f>
        <v>0</v>
      </c>
      <c r="Q5" s="338">
        <f>VLOOKUP($C5,'2015 ProForma'!$A:$G, 6, FALSE)*I5</f>
        <v>0</v>
      </c>
      <c r="R5" s="339">
        <f t="shared" si="1"/>
        <v>396753.05317419989</v>
      </c>
      <c r="S5" s="340">
        <f>VLOOKUP($C5,'2015 ProForma'!$A:$G, 7, FALSE)*K5</f>
        <v>72349.880665166187</v>
      </c>
    </row>
    <row r="6" spans="1:19" x14ac:dyDescent="0.3">
      <c r="A6" s="371">
        <v>4</v>
      </c>
      <c r="B6" s="372" t="s">
        <v>30</v>
      </c>
      <c r="C6" s="372" t="s">
        <v>363</v>
      </c>
      <c r="D6" s="373" t="s">
        <v>31</v>
      </c>
      <c r="E6" s="362"/>
      <c r="F6" s="16"/>
      <c r="G6" s="16">
        <v>1</v>
      </c>
      <c r="H6" s="16"/>
      <c r="I6" s="16"/>
      <c r="J6" s="337">
        <f t="shared" si="0"/>
        <v>1</v>
      </c>
      <c r="K6" s="16">
        <v>3</v>
      </c>
      <c r="L6" s="93"/>
      <c r="M6" s="346">
        <f>VLOOKUP($C6,'2015 ProForma'!$A:$G, 2, FALSE)*E6</f>
        <v>0</v>
      </c>
      <c r="N6" s="338">
        <f>VLOOKUP($C6,'2015 ProForma'!$A:$G, 3, FALSE)*F6</f>
        <v>0</v>
      </c>
      <c r="O6" s="338">
        <f>VLOOKUP($C6,'2015 ProForma'!$A:$G, 4, FALSE)*G6</f>
        <v>230686.3096649333</v>
      </c>
      <c r="P6" s="338">
        <f>VLOOKUP($C6,'2015 ProForma'!$A:$G, 5, FALSE)*H6</f>
        <v>0</v>
      </c>
      <c r="Q6" s="338">
        <f>VLOOKUP($C6,'2015 ProForma'!$A:$G, 6, FALSE)*I6</f>
        <v>0</v>
      </c>
      <c r="R6" s="339">
        <f t="shared" si="1"/>
        <v>230686.3096649333</v>
      </c>
      <c r="S6" s="340">
        <f>VLOOKUP($C6,'2015 ProForma'!$A:$G, 7, FALSE)*K6</f>
        <v>196708.39898303937</v>
      </c>
    </row>
    <row r="7" spans="1:19" x14ac:dyDescent="0.3">
      <c r="A7" s="371">
        <v>5</v>
      </c>
      <c r="B7" s="372" t="s">
        <v>33</v>
      </c>
      <c r="C7" s="372" t="s">
        <v>32</v>
      </c>
      <c r="D7" s="373" t="s">
        <v>34</v>
      </c>
      <c r="E7" s="362"/>
      <c r="F7" s="16"/>
      <c r="G7" s="16">
        <v>1</v>
      </c>
      <c r="H7" s="16"/>
      <c r="I7" s="16"/>
      <c r="J7" s="337">
        <f t="shared" si="0"/>
        <v>1</v>
      </c>
      <c r="K7" s="16">
        <v>2</v>
      </c>
      <c r="L7" s="93"/>
      <c r="M7" s="346">
        <f>VLOOKUP($C7,'2015 ProForma'!$A:$G, 2, FALSE)*E7</f>
        <v>0</v>
      </c>
      <c r="N7" s="338">
        <f>VLOOKUP($C7,'2015 ProForma'!$A:$G, 3, FALSE)*F7</f>
        <v>0</v>
      </c>
      <c r="O7" s="338">
        <f>VLOOKUP($C7,'2015 ProForma'!$A:$G, 4, FALSE)*G7</f>
        <v>181374.00567211665</v>
      </c>
      <c r="P7" s="338">
        <f>VLOOKUP($C7,'2015 ProForma'!$A:$G, 5, FALSE)*H7</f>
        <v>0</v>
      </c>
      <c r="Q7" s="338">
        <f>VLOOKUP($C7,'2015 ProForma'!$A:$G, 6, FALSE)*I7</f>
        <v>0</v>
      </c>
      <c r="R7" s="339">
        <f t="shared" si="1"/>
        <v>181374.00567211665</v>
      </c>
      <c r="S7" s="340">
        <f>VLOOKUP($C7,'2015 ProForma'!$A:$G, 7, FALSE)*K7</f>
        <v>103458.92811833588</v>
      </c>
    </row>
    <row r="8" spans="1:19" x14ac:dyDescent="0.3">
      <c r="A8" s="371">
        <v>6</v>
      </c>
      <c r="B8" s="372" t="s">
        <v>36</v>
      </c>
      <c r="C8" s="372" t="s">
        <v>35</v>
      </c>
      <c r="D8" s="373" t="s">
        <v>37</v>
      </c>
      <c r="E8" s="362"/>
      <c r="F8" s="16"/>
      <c r="G8" s="16">
        <v>1</v>
      </c>
      <c r="H8" s="16"/>
      <c r="I8" s="16"/>
      <c r="J8" s="337">
        <f t="shared" si="0"/>
        <v>1</v>
      </c>
      <c r="K8" s="16">
        <v>2</v>
      </c>
      <c r="L8" s="93"/>
      <c r="M8" s="346">
        <f>VLOOKUP($C8,'2015 ProForma'!$A:$G, 2, FALSE)*E8</f>
        <v>0</v>
      </c>
      <c r="N8" s="338">
        <f>VLOOKUP($C8,'2015 ProForma'!$A:$G, 3, FALSE)*F8</f>
        <v>0</v>
      </c>
      <c r="O8" s="338">
        <f>VLOOKUP($C8,'2015 ProForma'!$A:$G, 4, FALSE)*G8</f>
        <v>195836.98550035834</v>
      </c>
      <c r="P8" s="338">
        <f>VLOOKUP($C8,'2015 ProForma'!$A:$G, 5, FALSE)*H8</f>
        <v>0</v>
      </c>
      <c r="Q8" s="338">
        <f>VLOOKUP($C8,'2015 ProForma'!$A:$G, 6, FALSE)*I8</f>
        <v>0</v>
      </c>
      <c r="R8" s="339">
        <f t="shared" si="1"/>
        <v>195836.98550035834</v>
      </c>
      <c r="S8" s="340">
        <f>VLOOKUP($C8,'2015 ProForma'!$A:$G, 7, FALSE)*K8</f>
        <v>49048.999640516158</v>
      </c>
    </row>
    <row r="9" spans="1:19" x14ac:dyDescent="0.3">
      <c r="A9" s="371">
        <v>7</v>
      </c>
      <c r="B9" s="372" t="s">
        <v>39</v>
      </c>
      <c r="C9" s="372" t="s">
        <v>38</v>
      </c>
      <c r="D9" s="373" t="s">
        <v>40</v>
      </c>
      <c r="E9" s="362"/>
      <c r="F9" s="16"/>
      <c r="G9" s="16">
        <v>1</v>
      </c>
      <c r="H9" s="16"/>
      <c r="I9" s="16"/>
      <c r="J9" s="337">
        <f t="shared" si="0"/>
        <v>1</v>
      </c>
      <c r="K9" s="16">
        <v>2</v>
      </c>
      <c r="L9" s="93"/>
      <c r="M9" s="346">
        <f>VLOOKUP($C9,'2015 ProForma'!$A:$G, 2, FALSE)*E9</f>
        <v>0</v>
      </c>
      <c r="N9" s="338">
        <f>VLOOKUP($C9,'2015 ProForma'!$A:$G, 3, FALSE)*F9</f>
        <v>0</v>
      </c>
      <c r="O9" s="338">
        <f>VLOOKUP($C9,'2015 ProForma'!$A:$G, 4, FALSE)*G9</f>
        <v>209394.58693964165</v>
      </c>
      <c r="P9" s="338">
        <f>VLOOKUP($C9,'2015 ProForma'!$A:$G, 5, FALSE)*H9</f>
        <v>0</v>
      </c>
      <c r="Q9" s="338">
        <f>VLOOKUP($C9,'2015 ProForma'!$A:$G, 6, FALSE)*I9</f>
        <v>0</v>
      </c>
      <c r="R9" s="339">
        <f t="shared" si="1"/>
        <v>209394.58693964165</v>
      </c>
      <c r="S9" s="340">
        <f>VLOOKUP($C9,'2015 ProForma'!$A:$G, 7, FALSE)*K9</f>
        <v>93512.031829622065</v>
      </c>
    </row>
    <row r="10" spans="1:19" x14ac:dyDescent="0.3">
      <c r="A10" s="371">
        <v>8</v>
      </c>
      <c r="B10" s="372" t="s">
        <v>42</v>
      </c>
      <c r="C10" s="372" t="s">
        <v>41</v>
      </c>
      <c r="D10" s="373" t="s">
        <v>43</v>
      </c>
      <c r="E10" s="362"/>
      <c r="F10" s="16"/>
      <c r="G10" s="16">
        <v>1</v>
      </c>
      <c r="H10" s="16">
        <v>1</v>
      </c>
      <c r="I10" s="16"/>
      <c r="J10" s="337">
        <f t="shared" si="0"/>
        <v>2</v>
      </c>
      <c r="K10" s="16">
        <v>3</v>
      </c>
      <c r="L10" s="93"/>
      <c r="M10" s="346">
        <f>VLOOKUP($C10,'2015 ProForma'!$A:$G, 2, FALSE)*E10</f>
        <v>0</v>
      </c>
      <c r="N10" s="338">
        <f>VLOOKUP($C10,'2015 ProForma'!$A:$G, 3, FALSE)*F10</f>
        <v>0</v>
      </c>
      <c r="O10" s="338">
        <f>VLOOKUP($C10,'2015 ProForma'!$A:$G, 4, FALSE)*G10</f>
        <v>194269.02854040836</v>
      </c>
      <c r="P10" s="338">
        <f>VLOOKUP($C10,'2015 ProForma'!$A:$G, 5, FALSE)*H10</f>
        <v>164791.60499264466</v>
      </c>
      <c r="Q10" s="338">
        <f>VLOOKUP($C10,'2015 ProForma'!$A:$G, 6, FALSE)*I10</f>
        <v>0</v>
      </c>
      <c r="R10" s="339">
        <f t="shared" si="1"/>
        <v>359060.63353305298</v>
      </c>
      <c r="S10" s="340">
        <f>VLOOKUP($C10,'2015 ProForma'!$A:$G, 7, FALSE)*K10</f>
        <v>74676.405985199992</v>
      </c>
    </row>
    <row r="11" spans="1:19" x14ac:dyDescent="0.3">
      <c r="A11" s="371">
        <v>9</v>
      </c>
      <c r="B11" s="372" t="s">
        <v>45</v>
      </c>
      <c r="C11" s="372" t="s">
        <v>44</v>
      </c>
      <c r="D11" s="373" t="s">
        <v>46</v>
      </c>
      <c r="E11" s="362"/>
      <c r="F11" s="16"/>
      <c r="G11" s="16">
        <v>1</v>
      </c>
      <c r="H11" s="16"/>
      <c r="I11" s="16"/>
      <c r="J11" s="337">
        <f t="shared" si="0"/>
        <v>1</v>
      </c>
      <c r="K11" s="16">
        <v>2</v>
      </c>
      <c r="L11" s="93"/>
      <c r="M11" s="346">
        <f>VLOOKUP($C11,'2015 ProForma'!$A:$G, 2, FALSE)*E11</f>
        <v>0</v>
      </c>
      <c r="N11" s="338">
        <f>VLOOKUP($C11,'2015 ProForma'!$A:$G, 3, FALSE)*F11</f>
        <v>0</v>
      </c>
      <c r="O11" s="338">
        <f>VLOOKUP($C11,'2015 ProForma'!$A:$G, 4, FALSE)*G11</f>
        <v>190160.1894949</v>
      </c>
      <c r="P11" s="338">
        <f>VLOOKUP($C11,'2015 ProForma'!$A:$G, 5, FALSE)*H11</f>
        <v>0</v>
      </c>
      <c r="Q11" s="338">
        <f>VLOOKUP($C11,'2015 ProForma'!$A:$G, 6, FALSE)*I11</f>
        <v>0</v>
      </c>
      <c r="R11" s="339">
        <f t="shared" si="1"/>
        <v>190160.1894949</v>
      </c>
      <c r="S11" s="340">
        <f>VLOOKUP($C11,'2015 ProForma'!$A:$G, 7, FALSE)*K11</f>
        <v>61089.244772636528</v>
      </c>
    </row>
    <row r="12" spans="1:19" x14ac:dyDescent="0.3">
      <c r="A12" s="371">
        <v>10</v>
      </c>
      <c r="B12" s="372" t="s">
        <v>48</v>
      </c>
      <c r="C12" s="372" t="s">
        <v>47</v>
      </c>
      <c r="D12" s="373" t="s">
        <v>49</v>
      </c>
      <c r="E12" s="362"/>
      <c r="F12" s="16"/>
      <c r="G12" s="16">
        <v>1</v>
      </c>
      <c r="H12" s="16"/>
      <c r="I12" s="16"/>
      <c r="J12" s="337">
        <f t="shared" si="0"/>
        <v>1</v>
      </c>
      <c r="K12" s="16">
        <v>2</v>
      </c>
      <c r="L12" s="93"/>
      <c r="M12" s="346">
        <f>VLOOKUP($C12,'2015 ProForma'!$A:$G, 2, FALSE)*E12</f>
        <v>0</v>
      </c>
      <c r="N12" s="338">
        <f>VLOOKUP($C12,'2015 ProForma'!$A:$G, 3, FALSE)*F12</f>
        <v>0</v>
      </c>
      <c r="O12" s="338">
        <f>VLOOKUP($C12,'2015 ProForma'!$A:$G, 4, FALSE)*G12</f>
        <v>182948.21073245001</v>
      </c>
      <c r="P12" s="338">
        <f>VLOOKUP($C12,'2015 ProForma'!$A:$G, 5, FALSE)*H12</f>
        <v>0</v>
      </c>
      <c r="Q12" s="338">
        <f>VLOOKUP($C12,'2015 ProForma'!$A:$G, 6, FALSE)*I12</f>
        <v>0</v>
      </c>
      <c r="R12" s="339">
        <f t="shared" si="1"/>
        <v>182948.21073245001</v>
      </c>
      <c r="S12" s="340">
        <f>VLOOKUP($C12,'2015 ProForma'!$A:$G, 7, FALSE)*K12</f>
        <v>81749.003769919524</v>
      </c>
    </row>
    <row r="13" spans="1:19" x14ac:dyDescent="0.3">
      <c r="A13" s="371">
        <v>11</v>
      </c>
      <c r="B13" s="372" t="s">
        <v>51</v>
      </c>
      <c r="C13" s="372" t="s">
        <v>50</v>
      </c>
      <c r="D13" s="373" t="s">
        <v>52</v>
      </c>
      <c r="E13" s="362"/>
      <c r="F13" s="16"/>
      <c r="G13" s="16">
        <v>1</v>
      </c>
      <c r="H13" s="16"/>
      <c r="I13" s="16"/>
      <c r="J13" s="337">
        <f t="shared" si="0"/>
        <v>1</v>
      </c>
      <c r="K13" s="16">
        <v>2</v>
      </c>
      <c r="L13" s="93"/>
      <c r="M13" s="346">
        <f>VLOOKUP($C13,'2015 ProForma'!$A:$G, 2, FALSE)*E13</f>
        <v>0</v>
      </c>
      <c r="N13" s="338">
        <f>VLOOKUP($C13,'2015 ProForma'!$A:$G, 3, FALSE)*F13</f>
        <v>0</v>
      </c>
      <c r="O13" s="338">
        <f>VLOOKUP($C13,'2015 ProForma'!$A:$G, 4, FALSE)*G13</f>
        <v>175348.04641024169</v>
      </c>
      <c r="P13" s="338">
        <f>VLOOKUP($C13,'2015 ProForma'!$A:$G, 5, FALSE)*H13</f>
        <v>0</v>
      </c>
      <c r="Q13" s="338">
        <f>VLOOKUP($C13,'2015 ProForma'!$A:$G, 6, FALSE)*I13</f>
        <v>0</v>
      </c>
      <c r="R13" s="339">
        <f t="shared" si="1"/>
        <v>175348.04641024169</v>
      </c>
      <c r="S13" s="340">
        <f>VLOOKUP($C13,'2015 ProForma'!$A:$G, 7, FALSE)*K13</f>
        <v>80855.439478693443</v>
      </c>
    </row>
    <row r="14" spans="1:19" x14ac:dyDescent="0.3">
      <c r="A14" s="371">
        <v>12</v>
      </c>
      <c r="B14" s="372" t="s">
        <v>53</v>
      </c>
      <c r="C14" s="372" t="s">
        <v>364</v>
      </c>
      <c r="D14" s="373" t="s">
        <v>54</v>
      </c>
      <c r="E14" s="362"/>
      <c r="F14" s="16"/>
      <c r="G14" s="16"/>
      <c r="H14" s="16"/>
      <c r="I14" s="16"/>
      <c r="J14" s="337">
        <f t="shared" si="0"/>
        <v>0</v>
      </c>
      <c r="K14" s="16">
        <v>2</v>
      </c>
      <c r="L14" s="93"/>
      <c r="M14" s="346">
        <f>VLOOKUP($C14,'2015 ProForma'!$A:$G, 2, FALSE)*E14</f>
        <v>0</v>
      </c>
      <c r="N14" s="338">
        <f>VLOOKUP($C14,'2015 ProForma'!$A:$G, 3, FALSE)*F14</f>
        <v>0</v>
      </c>
      <c r="O14" s="338">
        <f>VLOOKUP($C14,'2015 ProForma'!$A:$G, 4, FALSE)*G14</f>
        <v>0</v>
      </c>
      <c r="P14" s="338">
        <f>VLOOKUP($C14,'2015 ProForma'!$A:$G, 5, FALSE)*H14</f>
        <v>0</v>
      </c>
      <c r="Q14" s="338">
        <f>VLOOKUP($C14,'2015 ProForma'!$A:$G, 6, FALSE)*I14</f>
        <v>0</v>
      </c>
      <c r="R14" s="339">
        <f t="shared" si="1"/>
        <v>0</v>
      </c>
      <c r="S14" s="340">
        <f>VLOOKUP($C14,'2015 ProForma'!$A:$G, 7, FALSE)*K14</f>
        <v>69792.725264463792</v>
      </c>
    </row>
    <row r="15" spans="1:19" x14ac:dyDescent="0.3">
      <c r="A15" s="371">
        <v>13</v>
      </c>
      <c r="B15" s="372" t="s">
        <v>56</v>
      </c>
      <c r="C15" s="372" t="s">
        <v>55</v>
      </c>
      <c r="D15" s="373" t="s">
        <v>57</v>
      </c>
      <c r="E15" s="362"/>
      <c r="F15" s="16"/>
      <c r="G15" s="16">
        <v>1</v>
      </c>
      <c r="H15" s="16">
        <v>1</v>
      </c>
      <c r="I15" s="16"/>
      <c r="J15" s="337">
        <f t="shared" si="0"/>
        <v>2</v>
      </c>
      <c r="K15" s="16">
        <v>3</v>
      </c>
      <c r="L15" s="93"/>
      <c r="M15" s="346">
        <f>VLOOKUP($C15,'2015 ProForma'!$A:$G, 2, FALSE)*E15</f>
        <v>0</v>
      </c>
      <c r="N15" s="338">
        <f>VLOOKUP($C15,'2015 ProForma'!$A:$G, 3, FALSE)*F15</f>
        <v>0</v>
      </c>
      <c r="O15" s="338">
        <f>VLOOKUP($C15,'2015 ProForma'!$A:$G, 4, FALSE)*G15</f>
        <v>205799.22721358333</v>
      </c>
      <c r="P15" s="338">
        <f>VLOOKUP($C15,'2015 ProForma'!$A:$G, 5, FALSE)*H15</f>
        <v>173719.19659999807</v>
      </c>
      <c r="Q15" s="338">
        <f>VLOOKUP($C15,'2015 ProForma'!$A:$G, 6, FALSE)*I15</f>
        <v>0</v>
      </c>
      <c r="R15" s="339">
        <f t="shared" si="1"/>
        <v>379518.42381358141</v>
      </c>
      <c r="S15" s="340">
        <f>VLOOKUP($C15,'2015 ProForma'!$A:$G, 7, FALSE)*K15</f>
        <v>156711.81791592657</v>
      </c>
    </row>
    <row r="16" spans="1:19" x14ac:dyDescent="0.3">
      <c r="A16" s="371">
        <v>14</v>
      </c>
      <c r="B16" s="372" t="s">
        <v>58</v>
      </c>
      <c r="C16" s="372" t="s">
        <v>365</v>
      </c>
      <c r="D16" s="373" t="s">
        <v>59</v>
      </c>
      <c r="E16" s="362"/>
      <c r="F16" s="16"/>
      <c r="G16" s="16">
        <v>1</v>
      </c>
      <c r="H16" s="16"/>
      <c r="I16" s="16"/>
      <c r="J16" s="337">
        <f t="shared" si="0"/>
        <v>1</v>
      </c>
      <c r="K16" s="16">
        <v>2</v>
      </c>
      <c r="L16" s="93"/>
      <c r="M16" s="346">
        <f>VLOOKUP($C16,'2015 ProForma'!$A:$G, 2, FALSE)*E16</f>
        <v>0</v>
      </c>
      <c r="N16" s="338">
        <f>VLOOKUP($C16,'2015 ProForma'!$A:$G, 3, FALSE)*F16</f>
        <v>0</v>
      </c>
      <c r="O16" s="338">
        <f>VLOOKUP($C16,'2015 ProForma'!$A:$G, 4, FALSE)*G16</f>
        <v>185840.67117815002</v>
      </c>
      <c r="P16" s="338">
        <f>VLOOKUP($C16,'2015 ProForma'!$A:$G, 5, FALSE)*H16</f>
        <v>0</v>
      </c>
      <c r="Q16" s="338">
        <f>VLOOKUP($C16,'2015 ProForma'!$A:$G, 6, FALSE)*I16</f>
        <v>0</v>
      </c>
      <c r="R16" s="339">
        <f t="shared" si="1"/>
        <v>185840.67117815002</v>
      </c>
      <c r="S16" s="340">
        <f>VLOOKUP($C16,'2015 ProForma'!$A:$G, 7, FALSE)*K16</f>
        <v>64995.138956953015</v>
      </c>
    </row>
    <row r="17" spans="1:19" x14ac:dyDescent="0.3">
      <c r="A17" s="371">
        <v>15</v>
      </c>
      <c r="B17" s="372" t="s">
        <v>61</v>
      </c>
      <c r="C17" s="372" t="s">
        <v>60</v>
      </c>
      <c r="D17" s="373" t="s">
        <v>62</v>
      </c>
      <c r="E17" s="362"/>
      <c r="F17" s="16"/>
      <c r="G17" s="16">
        <v>1</v>
      </c>
      <c r="H17" s="16">
        <v>2</v>
      </c>
      <c r="I17" s="16"/>
      <c r="J17" s="337">
        <f t="shared" si="0"/>
        <v>3</v>
      </c>
      <c r="K17" s="16">
        <v>4</v>
      </c>
      <c r="L17" s="93"/>
      <c r="M17" s="346">
        <f>VLOOKUP($C17,'2015 ProForma'!$A:$G, 2, FALSE)*E17</f>
        <v>0</v>
      </c>
      <c r="N17" s="338">
        <f>VLOOKUP($C17,'2015 ProForma'!$A:$G, 3, FALSE)*F17</f>
        <v>0</v>
      </c>
      <c r="O17" s="338">
        <f>VLOOKUP($C17,'2015 ProForma'!$A:$G, 4, FALSE)*G17</f>
        <v>199957.54003863331</v>
      </c>
      <c r="P17" s="338">
        <f>VLOOKUP($C17,'2015 ProForma'!$A:$G, 5, FALSE)*H17</f>
        <v>339189.50447950186</v>
      </c>
      <c r="Q17" s="338">
        <f>VLOOKUP($C17,'2015 ProForma'!$A:$G, 6, FALSE)*I17</f>
        <v>0</v>
      </c>
      <c r="R17" s="339">
        <f t="shared" si="1"/>
        <v>539147.04451813514</v>
      </c>
      <c r="S17" s="340">
        <f>VLOOKUP($C17,'2015 ProForma'!$A:$G, 7, FALSE)*K17</f>
        <v>111380.5231886363</v>
      </c>
    </row>
    <row r="18" spans="1:19" x14ac:dyDescent="0.3">
      <c r="A18" s="371">
        <v>16</v>
      </c>
      <c r="B18" s="372" t="s">
        <v>63</v>
      </c>
      <c r="C18" s="372" t="s">
        <v>388</v>
      </c>
      <c r="D18" s="373" t="s">
        <v>64</v>
      </c>
      <c r="E18" s="362"/>
      <c r="F18" s="16"/>
      <c r="G18" s="16">
        <v>1</v>
      </c>
      <c r="H18" s="16">
        <v>1</v>
      </c>
      <c r="I18" s="16"/>
      <c r="J18" s="337">
        <f t="shared" si="0"/>
        <v>2</v>
      </c>
      <c r="K18" s="16">
        <v>3</v>
      </c>
      <c r="L18" s="93"/>
      <c r="M18" s="346">
        <f>VLOOKUP($C18,'2015 ProForma'!$A:$G, 2, FALSE)*E18</f>
        <v>0</v>
      </c>
      <c r="N18" s="338">
        <f>VLOOKUP($C18,'2015 ProForma'!$A:$G, 3, FALSE)*F18</f>
        <v>0</v>
      </c>
      <c r="O18" s="338">
        <f>VLOOKUP($C18,'2015 ProForma'!$A:$G, 4, FALSE)*G18</f>
        <v>181938.22441216669</v>
      </c>
      <c r="P18" s="338">
        <f>VLOOKUP($C18,'2015 ProForma'!$A:$G, 5, FALSE)*H18</f>
        <v>154726.78122558238</v>
      </c>
      <c r="Q18" s="338">
        <f>VLOOKUP($C18,'2015 ProForma'!$A:$G, 6, FALSE)*I18</f>
        <v>0</v>
      </c>
      <c r="R18" s="339">
        <f t="shared" si="1"/>
        <v>336665.0056377491</v>
      </c>
      <c r="S18" s="340">
        <f>VLOOKUP($C18,'2015 ProForma'!$A:$G, 7, FALSE)*K18</f>
        <v>78345.731142019504</v>
      </c>
    </row>
    <row r="19" spans="1:19" x14ac:dyDescent="0.3">
      <c r="A19" s="371">
        <v>17</v>
      </c>
      <c r="B19" s="372" t="s">
        <v>66</v>
      </c>
      <c r="C19" s="372" t="s">
        <v>65</v>
      </c>
      <c r="D19" s="373" t="s">
        <v>67</v>
      </c>
      <c r="E19" s="362"/>
      <c r="F19" s="16"/>
      <c r="G19" s="16">
        <v>1</v>
      </c>
      <c r="H19" s="16"/>
      <c r="I19" s="16"/>
      <c r="J19" s="337">
        <f t="shared" si="0"/>
        <v>1</v>
      </c>
      <c r="K19" s="16">
        <v>2</v>
      </c>
      <c r="L19" s="93"/>
      <c r="M19" s="346">
        <f>VLOOKUP($C19,'2015 ProForma'!$A:$G, 2, FALSE)*E19</f>
        <v>0</v>
      </c>
      <c r="N19" s="338">
        <f>VLOOKUP($C19,'2015 ProForma'!$A:$G, 3, FALSE)*F19</f>
        <v>0</v>
      </c>
      <c r="O19" s="338">
        <f>VLOOKUP($C19,'2015 ProForma'!$A:$G, 4, FALSE)*G19</f>
        <v>190661.43858764999</v>
      </c>
      <c r="P19" s="338">
        <f>VLOOKUP($C19,'2015 ProForma'!$A:$G, 5, FALSE)*H19</f>
        <v>0</v>
      </c>
      <c r="Q19" s="338">
        <f>VLOOKUP($C19,'2015 ProForma'!$A:$G, 6, FALSE)*I19</f>
        <v>0</v>
      </c>
      <c r="R19" s="339">
        <f t="shared" si="1"/>
        <v>190661.43858764999</v>
      </c>
      <c r="S19" s="340">
        <f>VLOOKUP($C19,'2015 ProForma'!$A:$G, 7, FALSE)*K19</f>
        <v>65107.692615218941</v>
      </c>
    </row>
    <row r="20" spans="1:19" x14ac:dyDescent="0.3">
      <c r="A20" s="371">
        <v>18</v>
      </c>
      <c r="B20" s="372" t="s">
        <v>69</v>
      </c>
      <c r="C20" s="372" t="s">
        <v>68</v>
      </c>
      <c r="D20" s="373" t="s">
        <v>70</v>
      </c>
      <c r="E20" s="362"/>
      <c r="F20" s="16">
        <v>1</v>
      </c>
      <c r="G20" s="16">
        <v>1</v>
      </c>
      <c r="H20" s="16">
        <v>2</v>
      </c>
      <c r="I20" s="16"/>
      <c r="J20" s="337">
        <f t="shared" si="0"/>
        <v>4</v>
      </c>
      <c r="K20" s="16">
        <v>3</v>
      </c>
      <c r="L20" s="93"/>
      <c r="M20" s="346">
        <f>VLOOKUP($C20,'2015 ProForma'!$A:$G, 2, FALSE)*E20</f>
        <v>0</v>
      </c>
      <c r="N20" s="338">
        <f>VLOOKUP($C20,'2015 ProForma'!$A:$G, 3, FALSE)*F20</f>
        <v>314448.30542340211</v>
      </c>
      <c r="O20" s="338">
        <f>VLOOKUP($C20,'2015 ProForma'!$A:$G, 4, FALSE)*G20</f>
        <v>281173.59352265828</v>
      </c>
      <c r="P20" s="338">
        <f>VLOOKUP($C20,'2015 ProForma'!$A:$G, 5, FALSE)*H20</f>
        <v>492707.75492741563</v>
      </c>
      <c r="Q20" s="338">
        <f>VLOOKUP($C20,'2015 ProForma'!$A:$G, 6, FALSE)*I20</f>
        <v>0</v>
      </c>
      <c r="R20" s="339">
        <f t="shared" si="1"/>
        <v>1088329.653873476</v>
      </c>
      <c r="S20" s="340">
        <f>VLOOKUP($C20,'2015 ProForma'!$A:$G, 7, FALSE)*K20</f>
        <v>103898.89156574989</v>
      </c>
    </row>
    <row r="21" spans="1:19" x14ac:dyDescent="0.3">
      <c r="A21" s="371">
        <v>19</v>
      </c>
      <c r="B21" s="372" t="s">
        <v>71</v>
      </c>
      <c r="C21" s="372" t="s">
        <v>366</v>
      </c>
      <c r="D21" s="373" t="s">
        <v>72</v>
      </c>
      <c r="E21" s="362"/>
      <c r="F21" s="16">
        <v>1</v>
      </c>
      <c r="G21" s="16">
        <v>2</v>
      </c>
      <c r="H21" s="16">
        <v>2</v>
      </c>
      <c r="I21" s="16"/>
      <c r="J21" s="337">
        <f t="shared" si="0"/>
        <v>5</v>
      </c>
      <c r="K21" s="16">
        <v>7</v>
      </c>
      <c r="L21" s="93"/>
      <c r="M21" s="346">
        <f>VLOOKUP($C21,'2015 ProForma'!$A:$G, 2, FALSE)*E21</f>
        <v>0</v>
      </c>
      <c r="N21" s="338">
        <f>VLOOKUP($C21,'2015 ProForma'!$A:$G, 3, FALSE)*F21</f>
        <v>292394.52605642239</v>
      </c>
      <c r="O21" s="338">
        <f>VLOOKUP($C21,'2015 ProForma'!$A:$G, 4, FALSE)*G21</f>
        <v>524605.87379474984</v>
      </c>
      <c r="P21" s="338">
        <f>VLOOKUP($C21,'2015 ProForma'!$A:$G, 5, FALSE)*H21</f>
        <v>461149.1165696035</v>
      </c>
      <c r="Q21" s="338">
        <f>VLOOKUP($C21,'2015 ProForma'!$A:$G, 6, FALSE)*I21</f>
        <v>0</v>
      </c>
      <c r="R21" s="339">
        <f t="shared" si="1"/>
        <v>1278149.5164207758</v>
      </c>
      <c r="S21" s="340">
        <f>VLOOKUP($C21,'2015 ProForma'!$A:$G, 7, FALSE)*K21</f>
        <v>172537.76426779607</v>
      </c>
    </row>
    <row r="22" spans="1:19" x14ac:dyDescent="0.3">
      <c r="A22" s="371">
        <v>20</v>
      </c>
      <c r="B22" s="372" t="s">
        <v>73</v>
      </c>
      <c r="C22" s="372" t="s">
        <v>409</v>
      </c>
      <c r="D22" s="373" t="s">
        <v>74</v>
      </c>
      <c r="E22" s="362"/>
      <c r="F22" s="16"/>
      <c r="G22" s="16"/>
      <c r="H22" s="16"/>
      <c r="I22" s="16"/>
      <c r="J22" s="337">
        <f t="shared" si="0"/>
        <v>0</v>
      </c>
      <c r="K22" s="16">
        <v>1</v>
      </c>
      <c r="L22" s="93"/>
      <c r="M22" s="346">
        <f>VLOOKUP($C22,'2015 ProForma'!$A:$G, 2, FALSE)*E22</f>
        <v>0</v>
      </c>
      <c r="N22" s="338">
        <f>VLOOKUP($C22,'2015 ProForma'!$A:$G, 3, FALSE)*F22</f>
        <v>0</v>
      </c>
      <c r="O22" s="338">
        <f>VLOOKUP($C22,'2015 ProForma'!$A:$G, 4, FALSE)*G22</f>
        <v>0</v>
      </c>
      <c r="P22" s="338">
        <f>VLOOKUP($C22,'2015 ProForma'!$A:$G, 5, FALSE)*H22</f>
        <v>0</v>
      </c>
      <c r="Q22" s="338">
        <f>VLOOKUP($C22,'2015 ProForma'!$A:$G, 6, FALSE)*I22</f>
        <v>0</v>
      </c>
      <c r="R22" s="339">
        <f t="shared" si="1"/>
        <v>0</v>
      </c>
      <c r="S22" s="340">
        <f>VLOOKUP($C22,'2015 ProForma'!$A:$G, 7, FALSE)*K22</f>
        <v>66638.779298065798</v>
      </c>
    </row>
    <row r="23" spans="1:19" x14ac:dyDescent="0.3">
      <c r="A23" s="371">
        <v>21</v>
      </c>
      <c r="B23" s="372" t="s">
        <v>75</v>
      </c>
      <c r="C23" s="372" t="s">
        <v>389</v>
      </c>
      <c r="D23" s="373" t="s">
        <v>76</v>
      </c>
      <c r="E23" s="362"/>
      <c r="F23" s="16"/>
      <c r="G23" s="16">
        <v>1</v>
      </c>
      <c r="H23" s="16">
        <v>1</v>
      </c>
      <c r="I23" s="16"/>
      <c r="J23" s="337">
        <f t="shared" si="0"/>
        <v>2</v>
      </c>
      <c r="K23" s="16">
        <v>2</v>
      </c>
      <c r="L23" s="93"/>
      <c r="M23" s="346">
        <f>VLOOKUP($C23,'2015 ProForma'!$A:$G, 2, FALSE)*E23</f>
        <v>0</v>
      </c>
      <c r="N23" s="338">
        <f>VLOOKUP($C23,'2015 ProForma'!$A:$G, 3, FALSE)*F23</f>
        <v>0</v>
      </c>
      <c r="O23" s="338">
        <f>VLOOKUP($C23,'2015 ProForma'!$A:$G, 4, FALSE)*G23</f>
        <v>208739.31637327501</v>
      </c>
      <c r="P23" s="338">
        <f>VLOOKUP($C23,'2015 ProForma'!$A:$G, 5, FALSE)*H23</f>
        <v>176377.52780322699</v>
      </c>
      <c r="Q23" s="338">
        <f>VLOOKUP($C23,'2015 ProForma'!$A:$G, 6, FALSE)*I23</f>
        <v>0</v>
      </c>
      <c r="R23" s="339">
        <f t="shared" si="1"/>
        <v>385116.84417650197</v>
      </c>
      <c r="S23" s="340">
        <f>VLOOKUP($C23,'2015 ProForma'!$A:$G, 7, FALSE)*K23</f>
        <v>111534.61318627122</v>
      </c>
    </row>
    <row r="24" spans="1:19" x14ac:dyDescent="0.3">
      <c r="A24" s="371">
        <v>22</v>
      </c>
      <c r="B24" s="372" t="s">
        <v>78</v>
      </c>
      <c r="C24" s="372" t="s">
        <v>77</v>
      </c>
      <c r="D24" s="373" t="s">
        <v>79</v>
      </c>
      <c r="E24" s="362"/>
      <c r="F24" s="16">
        <v>1</v>
      </c>
      <c r="G24" s="16">
        <v>3</v>
      </c>
      <c r="H24" s="16">
        <v>3</v>
      </c>
      <c r="I24" s="16"/>
      <c r="J24" s="337">
        <f t="shared" si="0"/>
        <v>7</v>
      </c>
      <c r="K24" s="16">
        <v>8</v>
      </c>
      <c r="L24" s="93"/>
      <c r="M24" s="346">
        <f>VLOOKUP($C24,'2015 ProForma'!$A:$G, 2, FALSE)*E24</f>
        <v>0</v>
      </c>
      <c r="N24" s="338">
        <f>VLOOKUP($C24,'2015 ProForma'!$A:$G, 3, FALSE)*F24</f>
        <v>213500.95801104882</v>
      </c>
      <c r="O24" s="338">
        <f>VLOOKUP($C24,'2015 ProForma'!$A:$G, 4, FALSE)*G24</f>
        <v>558245.12864587503</v>
      </c>
      <c r="P24" s="338">
        <f>VLOOKUP($C24,'2015 ProForma'!$A:$G, 5, FALSE)*H24</f>
        <v>473650.84418931894</v>
      </c>
      <c r="Q24" s="338">
        <f>VLOOKUP($C24,'2015 ProForma'!$A:$G, 6, FALSE)*I24</f>
        <v>0</v>
      </c>
      <c r="R24" s="339">
        <f t="shared" si="1"/>
        <v>1245396.9308462427</v>
      </c>
      <c r="S24" s="340">
        <f>VLOOKUP($C24,'2015 ProForma'!$A:$G, 7, FALSE)*K24</f>
        <v>421456.36678241217</v>
      </c>
    </row>
    <row r="25" spans="1:19" x14ac:dyDescent="0.3">
      <c r="A25" s="371">
        <v>23</v>
      </c>
      <c r="B25" s="372" t="s">
        <v>80</v>
      </c>
      <c r="C25" s="372" t="s">
        <v>367</v>
      </c>
      <c r="D25" s="373" t="s">
        <v>81</v>
      </c>
      <c r="E25" s="362"/>
      <c r="F25" s="16"/>
      <c r="G25" s="16"/>
      <c r="H25" s="16"/>
      <c r="I25" s="16"/>
      <c r="J25" s="337">
        <f t="shared" si="0"/>
        <v>0</v>
      </c>
      <c r="K25" s="16">
        <v>1</v>
      </c>
      <c r="L25" s="93"/>
      <c r="M25" s="346">
        <f>VLOOKUP($C25,'2015 ProForma'!$A:$G, 2, FALSE)*E25</f>
        <v>0</v>
      </c>
      <c r="N25" s="338">
        <f>VLOOKUP($C25,'2015 ProForma'!$A:$G, 3, FALSE)*F25</f>
        <v>0</v>
      </c>
      <c r="O25" s="338">
        <f>VLOOKUP($C25,'2015 ProForma'!$A:$G, 4, FALSE)*G25</f>
        <v>0</v>
      </c>
      <c r="P25" s="338">
        <f>VLOOKUP($C25,'2015 ProForma'!$A:$G, 5, FALSE)*H25</f>
        <v>0</v>
      </c>
      <c r="Q25" s="338">
        <f>VLOOKUP($C25,'2015 ProForma'!$A:$G, 6, FALSE)*I25</f>
        <v>0</v>
      </c>
      <c r="R25" s="339">
        <f t="shared" si="1"/>
        <v>0</v>
      </c>
      <c r="S25" s="340">
        <f>VLOOKUP($C25,'2015 ProForma'!$A:$G, 7, FALSE)*K25</f>
        <v>27455.7642778347</v>
      </c>
    </row>
    <row r="26" spans="1:19" x14ac:dyDescent="0.3">
      <c r="A26" s="371">
        <v>24</v>
      </c>
      <c r="B26" s="372" t="s">
        <v>82</v>
      </c>
      <c r="C26" s="372" t="s">
        <v>368</v>
      </c>
      <c r="D26" s="373" t="s">
        <v>83</v>
      </c>
      <c r="E26" s="362"/>
      <c r="F26" s="16"/>
      <c r="G26" s="16">
        <v>1</v>
      </c>
      <c r="H26" s="16"/>
      <c r="I26" s="16"/>
      <c r="J26" s="337">
        <f t="shared" si="0"/>
        <v>1</v>
      </c>
      <c r="K26" s="16">
        <v>3</v>
      </c>
      <c r="L26" s="93"/>
      <c r="M26" s="346">
        <f>VLOOKUP($C26,'2015 ProForma'!$A:$G, 2, FALSE)*E26</f>
        <v>0</v>
      </c>
      <c r="N26" s="338">
        <f>VLOOKUP($C26,'2015 ProForma'!$A:$G, 3, FALSE)*F26</f>
        <v>0</v>
      </c>
      <c r="O26" s="338">
        <f>VLOOKUP($C26,'2015 ProForma'!$A:$G, 4, FALSE)*G26</f>
        <v>203500.87139204997</v>
      </c>
      <c r="P26" s="338">
        <f>VLOOKUP($C26,'2015 ProForma'!$A:$G, 5, FALSE)*H26</f>
        <v>0</v>
      </c>
      <c r="Q26" s="338">
        <f>VLOOKUP($C26,'2015 ProForma'!$A:$G, 6, FALSE)*I26</f>
        <v>0</v>
      </c>
      <c r="R26" s="339">
        <f t="shared" si="1"/>
        <v>203500.87139204997</v>
      </c>
      <c r="S26" s="340">
        <f>VLOOKUP($C26,'2015 ProForma'!$A:$G, 7, FALSE)*K26</f>
        <v>122076.84812408198</v>
      </c>
    </row>
    <row r="27" spans="1:19" x14ac:dyDescent="0.3">
      <c r="A27" s="371">
        <v>25</v>
      </c>
      <c r="B27" s="372" t="s">
        <v>420</v>
      </c>
      <c r="C27" s="372" t="s">
        <v>421</v>
      </c>
      <c r="D27" s="373" t="s">
        <v>344</v>
      </c>
      <c r="E27" s="362"/>
      <c r="F27" s="16"/>
      <c r="G27" s="16"/>
      <c r="H27" s="16"/>
      <c r="I27" s="16"/>
      <c r="J27" s="337">
        <f t="shared" si="0"/>
        <v>0</v>
      </c>
      <c r="K27" s="16">
        <v>1</v>
      </c>
      <c r="L27" s="93"/>
      <c r="M27" s="346">
        <f>VLOOKUP($C27,'2015 ProForma'!$A:$G, 2, FALSE)*E27</f>
        <v>0</v>
      </c>
      <c r="N27" s="338">
        <f>VLOOKUP($C27,'2015 ProForma'!$A:$G, 3, FALSE)*F27</f>
        <v>0</v>
      </c>
      <c r="O27" s="338">
        <f>VLOOKUP($C27,'2015 ProForma'!$A:$G, 4, FALSE)*G27</f>
        <v>0</v>
      </c>
      <c r="P27" s="338">
        <f>VLOOKUP($C27,'2015 ProForma'!$A:$G, 5, FALSE)*H27</f>
        <v>0</v>
      </c>
      <c r="Q27" s="338">
        <f>VLOOKUP($C27,'2015 ProForma'!$A:$G, 6, FALSE)*I27</f>
        <v>0</v>
      </c>
      <c r="R27" s="339">
        <f t="shared" si="1"/>
        <v>0</v>
      </c>
      <c r="S27" s="340">
        <f>VLOOKUP($C27,'2015 ProForma'!$A:$G, 7, FALSE)*K27</f>
        <v>37799.285821894096</v>
      </c>
    </row>
    <row r="28" spans="1:19" x14ac:dyDescent="0.3">
      <c r="A28" s="371">
        <v>26</v>
      </c>
      <c r="B28" s="372" t="s">
        <v>84</v>
      </c>
      <c r="C28" s="372" t="s">
        <v>369</v>
      </c>
      <c r="D28" s="373" t="s">
        <v>85</v>
      </c>
      <c r="E28" s="362"/>
      <c r="F28" s="16">
        <v>1</v>
      </c>
      <c r="G28" s="16">
        <v>2</v>
      </c>
      <c r="H28" s="16"/>
      <c r="I28" s="16">
        <v>1</v>
      </c>
      <c r="J28" s="337">
        <f t="shared" si="0"/>
        <v>4</v>
      </c>
      <c r="K28" s="16">
        <v>5</v>
      </c>
      <c r="L28" s="93"/>
      <c r="M28" s="346">
        <f>VLOOKUP($C28,'2015 ProForma'!$A:$G, 2, FALSE)*E28</f>
        <v>0</v>
      </c>
      <c r="N28" s="338">
        <f>VLOOKUP($C28,'2015 ProForma'!$A:$G, 3, FALSE)*F28</f>
        <v>232447.2029170701</v>
      </c>
      <c r="O28" s="338">
        <f>VLOOKUP($C28,'2015 ProForma'!$A:$G, 4, FALSE)*G28</f>
        <v>405360.21370610001</v>
      </c>
      <c r="P28" s="338">
        <f>VLOOKUP($C28,'2015 ProForma'!$A:$G, 5, FALSE)*H28</f>
        <v>0</v>
      </c>
      <c r="Q28" s="338">
        <f>VLOOKUP($C28,'2015 ProForma'!$A:$G, 6, FALSE)*I28</f>
        <v>152987.75976336782</v>
      </c>
      <c r="R28" s="339">
        <f t="shared" si="1"/>
        <v>790795.17638653796</v>
      </c>
      <c r="S28" s="340">
        <f>VLOOKUP($C28,'2015 ProForma'!$A:$G, 7, FALSE)*K28</f>
        <v>161026.19265270577</v>
      </c>
    </row>
    <row r="29" spans="1:19" x14ac:dyDescent="0.3">
      <c r="A29" s="371">
        <v>27</v>
      </c>
      <c r="B29" s="372" t="s">
        <v>86</v>
      </c>
      <c r="C29" s="372" t="s">
        <v>370</v>
      </c>
      <c r="D29" s="373" t="s">
        <v>87</v>
      </c>
      <c r="E29" s="362">
        <v>1</v>
      </c>
      <c r="F29" s="16"/>
      <c r="G29" s="16">
        <v>5</v>
      </c>
      <c r="H29" s="16">
        <v>1</v>
      </c>
      <c r="I29" s="16"/>
      <c r="J29" s="337">
        <f t="shared" si="0"/>
        <v>7</v>
      </c>
      <c r="K29" s="16">
        <v>12</v>
      </c>
      <c r="L29" s="93"/>
      <c r="M29" s="346">
        <f>VLOOKUP($C29,'2015 ProForma'!$A:$G, 2, FALSE)*E29</f>
        <v>337306.21430621989</v>
      </c>
      <c r="N29" s="338">
        <f>VLOOKUP($C29,'2015 ProForma'!$A:$G, 3, FALSE)*F29</f>
        <v>0</v>
      </c>
      <c r="O29" s="338">
        <f>VLOOKUP($C29,'2015 ProForma'!$A:$G, 4, FALSE)*G29</f>
        <v>1365329.4203911254</v>
      </c>
      <c r="P29" s="338">
        <f>VLOOKUP($C29,'2015 ProForma'!$A:$G, 5, FALSE)*H29</f>
        <v>241457.53860140513</v>
      </c>
      <c r="Q29" s="338">
        <f>VLOOKUP($C29,'2015 ProForma'!$A:$G, 6, FALSE)*I29</f>
        <v>0</v>
      </c>
      <c r="R29" s="339">
        <f t="shared" si="1"/>
        <v>1944093.1732987505</v>
      </c>
      <c r="S29" s="340">
        <f>VLOOKUP($C29,'2015 ProForma'!$A:$G, 7, FALSE)*K29</f>
        <v>546273.41412807815</v>
      </c>
    </row>
    <row r="30" spans="1:19" x14ac:dyDescent="0.3">
      <c r="A30" s="371">
        <v>28</v>
      </c>
      <c r="B30" s="372" t="s">
        <v>89</v>
      </c>
      <c r="C30" s="372" t="s">
        <v>88</v>
      </c>
      <c r="D30" s="373" t="s">
        <v>90</v>
      </c>
      <c r="E30" s="362"/>
      <c r="F30" s="16"/>
      <c r="G30" s="16">
        <v>1</v>
      </c>
      <c r="H30" s="16"/>
      <c r="I30" s="16"/>
      <c r="J30" s="337">
        <f t="shared" si="0"/>
        <v>1</v>
      </c>
      <c r="K30" s="16">
        <v>2</v>
      </c>
      <c r="L30" s="93"/>
      <c r="M30" s="346">
        <f>VLOOKUP($C30,'2015 ProForma'!$A:$G, 2, FALSE)*E30</f>
        <v>0</v>
      </c>
      <c r="N30" s="338">
        <f>VLOOKUP($C30,'2015 ProForma'!$A:$G, 3, FALSE)*F30</f>
        <v>0</v>
      </c>
      <c r="O30" s="338">
        <f>VLOOKUP($C30,'2015 ProForma'!$A:$G, 4, FALSE)*G30</f>
        <v>195655.39982256669</v>
      </c>
      <c r="P30" s="338">
        <f>VLOOKUP($C30,'2015 ProForma'!$A:$G, 5, FALSE)*H30</f>
        <v>0</v>
      </c>
      <c r="Q30" s="338">
        <f>VLOOKUP($C30,'2015 ProForma'!$A:$G, 6, FALSE)*I30</f>
        <v>0</v>
      </c>
      <c r="R30" s="339">
        <f t="shared" si="1"/>
        <v>195655.39982256669</v>
      </c>
      <c r="S30" s="340">
        <f>VLOOKUP($C30,'2015 ProForma'!$A:$G, 7, FALSE)*K30</f>
        <v>64813.483206366378</v>
      </c>
    </row>
    <row r="31" spans="1:19" x14ac:dyDescent="0.3">
      <c r="A31" s="371">
        <v>29</v>
      </c>
      <c r="B31" s="372" t="s">
        <v>92</v>
      </c>
      <c r="C31" s="372" t="s">
        <v>91</v>
      </c>
      <c r="D31" s="373" t="s">
        <v>93</v>
      </c>
      <c r="E31" s="362"/>
      <c r="F31" s="16"/>
      <c r="G31" s="16">
        <v>1</v>
      </c>
      <c r="H31" s="16"/>
      <c r="I31" s="16"/>
      <c r="J31" s="337">
        <f t="shared" si="0"/>
        <v>1</v>
      </c>
      <c r="K31" s="16">
        <v>2</v>
      </c>
      <c r="L31" s="93"/>
      <c r="M31" s="346">
        <f>VLOOKUP($C31,'2015 ProForma'!$A:$G, 2, FALSE)*E31</f>
        <v>0</v>
      </c>
      <c r="N31" s="338">
        <f>VLOOKUP($C31,'2015 ProForma'!$A:$G, 3, FALSE)*F31</f>
        <v>0</v>
      </c>
      <c r="O31" s="338">
        <f>VLOOKUP($C31,'2015 ProForma'!$A:$G, 4, FALSE)*G31</f>
        <v>181454.35179560832</v>
      </c>
      <c r="P31" s="338">
        <f>VLOOKUP($C31,'2015 ProForma'!$A:$G, 5, FALSE)*H31</f>
        <v>0</v>
      </c>
      <c r="Q31" s="338">
        <f>VLOOKUP($C31,'2015 ProForma'!$A:$G, 6, FALSE)*I31</f>
        <v>0</v>
      </c>
      <c r="R31" s="339">
        <f t="shared" si="1"/>
        <v>181454.35179560832</v>
      </c>
      <c r="S31" s="340">
        <f>VLOOKUP($C31,'2015 ProForma'!$A:$G, 7, FALSE)*K31</f>
        <v>65829.153582174564</v>
      </c>
    </row>
    <row r="32" spans="1:19" x14ac:dyDescent="0.3">
      <c r="A32" s="371">
        <v>30</v>
      </c>
      <c r="B32" s="372" t="s">
        <v>94</v>
      </c>
      <c r="C32" s="372" t="s">
        <v>390</v>
      </c>
      <c r="D32" s="373" t="s">
        <v>95</v>
      </c>
      <c r="E32" s="362"/>
      <c r="F32" s="16"/>
      <c r="G32" s="16">
        <v>1</v>
      </c>
      <c r="H32" s="16">
        <v>1</v>
      </c>
      <c r="I32" s="16"/>
      <c r="J32" s="337">
        <f t="shared" si="0"/>
        <v>2</v>
      </c>
      <c r="K32" s="16">
        <v>4</v>
      </c>
      <c r="L32" s="93"/>
      <c r="M32" s="346">
        <f>VLOOKUP($C32,'2015 ProForma'!$A:$G, 2, FALSE)*E32</f>
        <v>0</v>
      </c>
      <c r="N32" s="338">
        <f>VLOOKUP($C32,'2015 ProForma'!$A:$G, 3, FALSE)*F32</f>
        <v>0</v>
      </c>
      <c r="O32" s="338">
        <f>VLOOKUP($C32,'2015 ProForma'!$A:$G, 4, FALSE)*G32</f>
        <v>211145.09080399165</v>
      </c>
      <c r="P32" s="338">
        <f>VLOOKUP($C32,'2015 ProForma'!$A:$G, 5, FALSE)*H32</f>
        <v>178726.41353834388</v>
      </c>
      <c r="Q32" s="338">
        <f>VLOOKUP($C32,'2015 ProForma'!$A:$G, 6, FALSE)*I32</f>
        <v>0</v>
      </c>
      <c r="R32" s="339">
        <f t="shared" si="1"/>
        <v>389871.50434233551</v>
      </c>
      <c r="S32" s="340">
        <f>VLOOKUP($C32,'2015 ProForma'!$A:$G, 7, FALSE)*K32</f>
        <v>75017.120401806256</v>
      </c>
    </row>
    <row r="33" spans="1:19" x14ac:dyDescent="0.3">
      <c r="A33" s="371">
        <v>31</v>
      </c>
      <c r="B33" s="372" t="s">
        <v>97</v>
      </c>
      <c r="C33" s="372" t="s">
        <v>96</v>
      </c>
      <c r="D33" s="373" t="s">
        <v>98</v>
      </c>
      <c r="E33" s="362"/>
      <c r="F33" s="16"/>
      <c r="G33" s="16">
        <v>1</v>
      </c>
      <c r="H33" s="16"/>
      <c r="I33" s="16"/>
      <c r="J33" s="337">
        <f t="shared" si="0"/>
        <v>1</v>
      </c>
      <c r="K33" s="16">
        <v>2</v>
      </c>
      <c r="L33" s="93"/>
      <c r="M33" s="346">
        <f>VLOOKUP($C33,'2015 ProForma'!$A:$G, 2, FALSE)*E33</f>
        <v>0</v>
      </c>
      <c r="N33" s="338">
        <f>VLOOKUP($C33,'2015 ProForma'!$A:$G, 3, FALSE)*F33</f>
        <v>0</v>
      </c>
      <c r="O33" s="338">
        <f>VLOOKUP($C33,'2015 ProForma'!$A:$G, 4, FALSE)*G33</f>
        <v>173339.39332294997</v>
      </c>
      <c r="P33" s="338">
        <f>VLOOKUP($C33,'2015 ProForma'!$A:$G, 5, FALSE)*H33</f>
        <v>0</v>
      </c>
      <c r="Q33" s="338">
        <f>VLOOKUP($C33,'2015 ProForma'!$A:$G, 6, FALSE)*I33</f>
        <v>0</v>
      </c>
      <c r="R33" s="339">
        <f t="shared" si="1"/>
        <v>173339.39332294997</v>
      </c>
      <c r="S33" s="340">
        <f>VLOOKUP($C33,'2015 ProForma'!$A:$G, 7, FALSE)*K33</f>
        <v>99618.799522369387</v>
      </c>
    </row>
    <row r="34" spans="1:19" x14ac:dyDescent="0.3">
      <c r="A34" s="371">
        <v>32</v>
      </c>
      <c r="B34" s="372" t="s">
        <v>100</v>
      </c>
      <c r="C34" s="372" t="s">
        <v>99</v>
      </c>
      <c r="D34" s="373" t="s">
        <v>101</v>
      </c>
      <c r="E34" s="362"/>
      <c r="F34" s="16"/>
      <c r="G34" s="16">
        <v>1</v>
      </c>
      <c r="H34" s="16">
        <v>1</v>
      </c>
      <c r="I34" s="16"/>
      <c r="J34" s="337">
        <f t="shared" si="0"/>
        <v>2</v>
      </c>
      <c r="K34" s="16">
        <v>3</v>
      </c>
      <c r="L34" s="93"/>
      <c r="M34" s="346">
        <f>VLOOKUP($C34,'2015 ProForma'!$A:$G, 2, FALSE)*E34</f>
        <v>0</v>
      </c>
      <c r="N34" s="338">
        <f>VLOOKUP($C34,'2015 ProForma'!$A:$G, 3, FALSE)*F34</f>
        <v>0</v>
      </c>
      <c r="O34" s="338">
        <f>VLOOKUP($C34,'2015 ProForma'!$A:$G, 4, FALSE)*G34</f>
        <v>175589.08478071666</v>
      </c>
      <c r="P34" s="338">
        <f>VLOOKUP($C34,'2015 ProForma'!$A:$G, 5, FALSE)*H34</f>
        <v>149060.6458353927</v>
      </c>
      <c r="Q34" s="338">
        <f>VLOOKUP($C34,'2015 ProForma'!$A:$G, 6, FALSE)*I34</f>
        <v>0</v>
      </c>
      <c r="R34" s="339">
        <f t="shared" si="1"/>
        <v>324649.73061610933</v>
      </c>
      <c r="S34" s="340">
        <f>VLOOKUP($C34,'2015 ProForma'!$A:$G, 7, FALSE)*K34</f>
        <v>79949.943590052324</v>
      </c>
    </row>
    <row r="35" spans="1:19" x14ac:dyDescent="0.3">
      <c r="A35" s="371">
        <v>33</v>
      </c>
      <c r="B35" s="372" t="s">
        <v>102</v>
      </c>
      <c r="C35" s="372" t="s">
        <v>410</v>
      </c>
      <c r="D35" s="373" t="s">
        <v>103</v>
      </c>
      <c r="E35" s="362"/>
      <c r="F35" s="16"/>
      <c r="G35" s="16">
        <v>1</v>
      </c>
      <c r="H35" s="16"/>
      <c r="I35" s="16"/>
      <c r="J35" s="337">
        <f t="shared" si="0"/>
        <v>1</v>
      </c>
      <c r="K35" s="16">
        <v>2</v>
      </c>
      <c r="L35" s="93"/>
      <c r="M35" s="346">
        <f>VLOOKUP($C35,'2015 ProForma'!$A:$G, 2, FALSE)*E35</f>
        <v>0</v>
      </c>
      <c r="N35" s="338">
        <f>VLOOKUP($C35,'2015 ProForma'!$A:$G, 3, FALSE)*F35</f>
        <v>0</v>
      </c>
      <c r="O35" s="338">
        <f>VLOOKUP($C35,'2015 ProForma'!$A:$G, 4, FALSE)*G35</f>
        <v>178770.21231088333</v>
      </c>
      <c r="P35" s="338">
        <f>VLOOKUP($C35,'2015 ProForma'!$A:$G, 5, FALSE)*H35</f>
        <v>0</v>
      </c>
      <c r="Q35" s="338">
        <f>VLOOKUP($C35,'2015 ProForma'!$A:$G, 6, FALSE)*I35</f>
        <v>0</v>
      </c>
      <c r="R35" s="339">
        <f t="shared" si="1"/>
        <v>178770.21231088333</v>
      </c>
      <c r="S35" s="340">
        <f>VLOOKUP($C35,'2015 ProForma'!$A:$G, 7, FALSE)*K35</f>
        <v>69277.206964299825</v>
      </c>
    </row>
    <row r="36" spans="1:19" x14ac:dyDescent="0.3">
      <c r="A36" s="371">
        <v>34</v>
      </c>
      <c r="B36" s="372" t="s">
        <v>104</v>
      </c>
      <c r="C36" s="372" t="s">
        <v>371</v>
      </c>
      <c r="D36" s="373" t="s">
        <v>105</v>
      </c>
      <c r="E36" s="362"/>
      <c r="F36" s="16"/>
      <c r="G36" s="16">
        <v>1</v>
      </c>
      <c r="H36" s="16"/>
      <c r="I36" s="16"/>
      <c r="J36" s="337">
        <f t="shared" si="0"/>
        <v>1</v>
      </c>
      <c r="K36" s="16">
        <v>2</v>
      </c>
      <c r="L36" s="93"/>
      <c r="M36" s="346">
        <f>VLOOKUP($C36,'2015 ProForma'!$A:$G, 2, FALSE)*E36</f>
        <v>0</v>
      </c>
      <c r="N36" s="338">
        <f>VLOOKUP($C36,'2015 ProForma'!$A:$G, 3, FALSE)*F36</f>
        <v>0</v>
      </c>
      <c r="O36" s="338">
        <f>VLOOKUP($C36,'2015 ProForma'!$A:$G, 4, FALSE)*G36</f>
        <v>206817.06021593331</v>
      </c>
      <c r="P36" s="338">
        <f>VLOOKUP($C36,'2015 ProForma'!$A:$G, 5, FALSE)*H36</f>
        <v>0</v>
      </c>
      <c r="Q36" s="338">
        <f>VLOOKUP($C36,'2015 ProForma'!$A:$G, 6, FALSE)*I36</f>
        <v>0</v>
      </c>
      <c r="R36" s="339">
        <f t="shared" si="1"/>
        <v>206817.06021593331</v>
      </c>
      <c r="S36" s="340">
        <f>VLOOKUP($C36,'2015 ProForma'!$A:$G, 7, FALSE)*K36</f>
        <v>64161.985589434531</v>
      </c>
    </row>
    <row r="37" spans="1:19" x14ac:dyDescent="0.3">
      <c r="A37" s="371">
        <v>35</v>
      </c>
      <c r="B37" s="372" t="s">
        <v>107</v>
      </c>
      <c r="C37" s="372" t="s">
        <v>106</v>
      </c>
      <c r="D37" s="373" t="s">
        <v>108</v>
      </c>
      <c r="E37" s="362"/>
      <c r="F37" s="16"/>
      <c r="G37" s="16"/>
      <c r="H37" s="16"/>
      <c r="I37" s="16"/>
      <c r="J37" s="337">
        <f t="shared" si="0"/>
        <v>0</v>
      </c>
      <c r="K37" s="16">
        <v>2</v>
      </c>
      <c r="L37" s="93"/>
      <c r="M37" s="346">
        <f>VLOOKUP($C37,'2015 ProForma'!$A:$G, 2, FALSE)*E37</f>
        <v>0</v>
      </c>
      <c r="N37" s="338">
        <f>VLOOKUP($C37,'2015 ProForma'!$A:$G, 3, FALSE)*F37</f>
        <v>0</v>
      </c>
      <c r="O37" s="338">
        <f>VLOOKUP($C37,'2015 ProForma'!$A:$G, 4, FALSE)*G37</f>
        <v>0</v>
      </c>
      <c r="P37" s="338">
        <f>VLOOKUP($C37,'2015 ProForma'!$A:$G, 5, FALSE)*H37</f>
        <v>0</v>
      </c>
      <c r="Q37" s="338">
        <f>VLOOKUP($C37,'2015 ProForma'!$A:$G, 6, FALSE)*I37</f>
        <v>0</v>
      </c>
      <c r="R37" s="339">
        <f t="shared" si="1"/>
        <v>0</v>
      </c>
      <c r="S37" s="340">
        <f>VLOOKUP($C37,'2015 ProForma'!$A:$G, 7, FALSE)*K37</f>
        <v>39827.156456787743</v>
      </c>
    </row>
    <row r="38" spans="1:19" x14ac:dyDescent="0.3">
      <c r="A38" s="371">
        <v>36</v>
      </c>
      <c r="B38" s="372" t="s">
        <v>110</v>
      </c>
      <c r="C38" s="372" t="s">
        <v>109</v>
      </c>
      <c r="D38" s="373" t="s">
        <v>111</v>
      </c>
      <c r="E38" s="362"/>
      <c r="F38" s="16"/>
      <c r="G38" s="16">
        <v>1</v>
      </c>
      <c r="H38" s="16">
        <v>2</v>
      </c>
      <c r="I38" s="16"/>
      <c r="J38" s="337">
        <f t="shared" si="0"/>
        <v>3</v>
      </c>
      <c r="K38" s="16">
        <v>4</v>
      </c>
      <c r="L38" s="93"/>
      <c r="M38" s="346">
        <f>VLOOKUP($C38,'2015 ProForma'!$A:$G, 2, FALSE)*E38</f>
        <v>0</v>
      </c>
      <c r="N38" s="338">
        <f>VLOOKUP($C38,'2015 ProForma'!$A:$G, 3, FALSE)*F38</f>
        <v>0</v>
      </c>
      <c r="O38" s="338">
        <f>VLOOKUP($C38,'2015 ProForma'!$A:$G, 4, FALSE)*G38</f>
        <v>193289.09708650832</v>
      </c>
      <c r="P38" s="338">
        <f>VLOOKUP($C38,'2015 ProForma'!$A:$G, 5, FALSE)*H38</f>
        <v>327983.50289648469</v>
      </c>
      <c r="Q38" s="338">
        <f>VLOOKUP($C38,'2015 ProForma'!$A:$G, 6, FALSE)*I38</f>
        <v>0</v>
      </c>
      <c r="R38" s="339">
        <f t="shared" si="1"/>
        <v>521272.59998299298</v>
      </c>
      <c r="S38" s="340">
        <f>VLOOKUP($C38,'2015 ProForma'!$A:$G, 7, FALSE)*K38</f>
        <v>87370.280645092309</v>
      </c>
    </row>
    <row r="39" spans="1:19" x14ac:dyDescent="0.3">
      <c r="A39" s="371">
        <v>37</v>
      </c>
      <c r="B39" s="372" t="s">
        <v>112</v>
      </c>
      <c r="C39" s="372" t="s">
        <v>391</v>
      </c>
      <c r="D39" s="373" t="s">
        <v>113</v>
      </c>
      <c r="E39" s="362"/>
      <c r="F39" s="16"/>
      <c r="G39" s="16">
        <v>1</v>
      </c>
      <c r="H39" s="16">
        <v>1</v>
      </c>
      <c r="I39" s="16"/>
      <c r="J39" s="337">
        <f t="shared" si="0"/>
        <v>2</v>
      </c>
      <c r="K39" s="16">
        <v>2</v>
      </c>
      <c r="L39" s="93"/>
      <c r="M39" s="346">
        <f>VLOOKUP($C39,'2015 ProForma'!$A:$G, 2, FALSE)*E39</f>
        <v>0</v>
      </c>
      <c r="N39" s="338">
        <f>VLOOKUP($C39,'2015 ProForma'!$A:$G, 3, FALSE)*F39</f>
        <v>0</v>
      </c>
      <c r="O39" s="338">
        <f>VLOOKUP($C39,'2015 ProForma'!$A:$G, 4, FALSE)*G39</f>
        <v>184153.40258482497</v>
      </c>
      <c r="P39" s="338">
        <f>VLOOKUP($C39,'2015 ProForma'!$A:$G, 5, FALSE)*H39</f>
        <v>156309.66468096842</v>
      </c>
      <c r="Q39" s="338">
        <f>VLOOKUP($C39,'2015 ProForma'!$A:$G, 6, FALSE)*I39</f>
        <v>0</v>
      </c>
      <c r="R39" s="339">
        <f t="shared" si="1"/>
        <v>340463.06726579339</v>
      </c>
      <c r="S39" s="340">
        <f>VLOOKUP($C39,'2015 ProForma'!$A:$G, 7, FALSE)*K39</f>
        <v>56000.159246126546</v>
      </c>
    </row>
    <row r="40" spans="1:19" x14ac:dyDescent="0.3">
      <c r="A40" s="371">
        <v>38</v>
      </c>
      <c r="B40" s="372" t="s">
        <v>593</v>
      </c>
      <c r="C40" s="372" t="s">
        <v>416</v>
      </c>
      <c r="D40" s="373" t="s">
        <v>179</v>
      </c>
      <c r="E40" s="362"/>
      <c r="F40" s="16"/>
      <c r="G40" s="16">
        <v>1</v>
      </c>
      <c r="H40" s="16"/>
      <c r="I40" s="16"/>
      <c r="J40" s="337">
        <f t="shared" si="0"/>
        <v>1</v>
      </c>
      <c r="K40" s="16">
        <v>2</v>
      </c>
      <c r="L40" s="93"/>
      <c r="M40" s="346">
        <f>VLOOKUP($C40,'2015 ProForma'!$A:$G, 2, FALSE)*E40</f>
        <v>0</v>
      </c>
      <c r="N40" s="338">
        <f>VLOOKUP($C40,'2015 ProForma'!$A:$G, 3, FALSE)*F40</f>
        <v>0</v>
      </c>
      <c r="O40" s="338">
        <f>VLOOKUP($C40,'2015 ProForma'!$A:$G, 4, FALSE)*G40</f>
        <v>173580.43169342499</v>
      </c>
      <c r="P40" s="338">
        <f>VLOOKUP($C40,'2015 ProForma'!$A:$G, 5, FALSE)*H40</f>
        <v>0</v>
      </c>
      <c r="Q40" s="338">
        <f>VLOOKUP($C40,'2015 ProForma'!$A:$G, 6, FALSE)*I40</f>
        <v>0</v>
      </c>
      <c r="R40" s="339">
        <f t="shared" si="1"/>
        <v>173580.43169342499</v>
      </c>
      <c r="S40" s="340">
        <f>VLOOKUP($C40,'2015 ProForma'!$A:$G, 7, FALSE)*K40</f>
        <v>92331.735098331323</v>
      </c>
    </row>
    <row r="41" spans="1:19" x14ac:dyDescent="0.3">
      <c r="A41" s="371">
        <v>39</v>
      </c>
      <c r="B41" s="372" t="s">
        <v>115</v>
      </c>
      <c r="C41" s="372" t="s">
        <v>114</v>
      </c>
      <c r="D41" s="373" t="s">
        <v>116</v>
      </c>
      <c r="E41" s="362"/>
      <c r="F41" s="16"/>
      <c r="G41" s="16">
        <v>1</v>
      </c>
      <c r="H41" s="16"/>
      <c r="I41" s="16"/>
      <c r="J41" s="337">
        <f t="shared" si="0"/>
        <v>1</v>
      </c>
      <c r="K41" s="16">
        <v>2</v>
      </c>
      <c r="L41" s="93"/>
      <c r="M41" s="346">
        <f>VLOOKUP($C41,'2015 ProForma'!$A:$G, 2, FALSE)*E41</f>
        <v>0</v>
      </c>
      <c r="N41" s="338">
        <f>VLOOKUP($C41,'2015 ProForma'!$A:$G, 3, FALSE)*F41</f>
        <v>0</v>
      </c>
      <c r="O41" s="338">
        <f>VLOOKUP($C41,'2015 ProForma'!$A:$G, 4, FALSE)*G41</f>
        <v>187399.96493399164</v>
      </c>
      <c r="P41" s="338">
        <f>VLOOKUP($C41,'2015 ProForma'!$A:$G, 5, FALSE)*H41</f>
        <v>0</v>
      </c>
      <c r="Q41" s="338">
        <f>VLOOKUP($C41,'2015 ProForma'!$A:$G, 6, FALSE)*I41</f>
        <v>0</v>
      </c>
      <c r="R41" s="339">
        <f t="shared" si="1"/>
        <v>187399.96493399164</v>
      </c>
      <c r="S41" s="340">
        <f>VLOOKUP($C41,'2015 ProForma'!$A:$G, 7, FALSE)*K41</f>
        <v>76761.892196834597</v>
      </c>
    </row>
    <row r="42" spans="1:19" x14ac:dyDescent="0.3">
      <c r="A42" s="371">
        <v>40</v>
      </c>
      <c r="B42" s="372" t="s">
        <v>117</v>
      </c>
      <c r="C42" s="372" t="s">
        <v>372</v>
      </c>
      <c r="D42" s="373" t="s">
        <v>118</v>
      </c>
      <c r="E42" s="362"/>
      <c r="F42" s="16"/>
      <c r="G42" s="16"/>
      <c r="H42" s="16"/>
      <c r="I42" s="16"/>
      <c r="J42" s="337">
        <f t="shared" si="0"/>
        <v>0</v>
      </c>
      <c r="K42" s="16">
        <v>2</v>
      </c>
      <c r="L42" s="93"/>
      <c r="M42" s="346">
        <f>VLOOKUP($C42,'2015 ProForma'!$A:$G, 2, FALSE)*E42</f>
        <v>0</v>
      </c>
      <c r="N42" s="338">
        <f>VLOOKUP($C42,'2015 ProForma'!$A:$G, 3, FALSE)*F42</f>
        <v>0</v>
      </c>
      <c r="O42" s="338">
        <f>VLOOKUP($C42,'2015 ProForma'!$A:$G, 4, FALSE)*G42</f>
        <v>0</v>
      </c>
      <c r="P42" s="338">
        <f>VLOOKUP($C42,'2015 ProForma'!$A:$G, 5, FALSE)*H42</f>
        <v>0</v>
      </c>
      <c r="Q42" s="338">
        <f>VLOOKUP($C42,'2015 ProForma'!$A:$G, 6, FALSE)*I42</f>
        <v>0</v>
      </c>
      <c r="R42" s="339">
        <f t="shared" si="1"/>
        <v>0</v>
      </c>
      <c r="S42" s="340">
        <f>VLOOKUP($C42,'2015 ProForma'!$A:$G, 7, FALSE)*K42</f>
        <v>25436.120214510156</v>
      </c>
    </row>
    <row r="43" spans="1:19" x14ac:dyDescent="0.3">
      <c r="A43" s="371">
        <v>41</v>
      </c>
      <c r="B43" s="372" t="s">
        <v>120</v>
      </c>
      <c r="C43" s="372" t="s">
        <v>119</v>
      </c>
      <c r="D43" s="373" t="s">
        <v>121</v>
      </c>
      <c r="E43" s="362"/>
      <c r="F43" s="16"/>
      <c r="G43" s="16">
        <v>1</v>
      </c>
      <c r="H43" s="16">
        <v>1</v>
      </c>
      <c r="I43" s="16"/>
      <c r="J43" s="337">
        <f t="shared" si="0"/>
        <v>2</v>
      </c>
      <c r="K43" s="16">
        <v>3</v>
      </c>
      <c r="L43" s="93"/>
      <c r="M43" s="346">
        <f>VLOOKUP($C43,'2015 ProForma'!$A:$G, 2, FALSE)*E43</f>
        <v>0</v>
      </c>
      <c r="N43" s="338">
        <f>VLOOKUP($C43,'2015 ProForma'!$A:$G, 3, FALSE)*F43</f>
        <v>0</v>
      </c>
      <c r="O43" s="338">
        <f>VLOOKUP($C43,'2015 ProForma'!$A:$G, 4, FALSE)*G43</f>
        <v>191737.53895116664</v>
      </c>
      <c r="P43" s="338">
        <f>VLOOKUP($C43,'2015 ProForma'!$A:$G, 5, FALSE)*H43</f>
        <v>162725.31666960535</v>
      </c>
      <c r="Q43" s="338">
        <f>VLOOKUP($C43,'2015 ProForma'!$A:$G, 6, FALSE)*I43</f>
        <v>0</v>
      </c>
      <c r="R43" s="339">
        <f t="shared" si="1"/>
        <v>354462.855620772</v>
      </c>
      <c r="S43" s="340">
        <f>VLOOKUP($C43,'2015 ProForma'!$A:$G, 7, FALSE)*K43</f>
        <v>99194.478215054187</v>
      </c>
    </row>
    <row r="44" spans="1:19" x14ac:dyDescent="0.3">
      <c r="A44" s="371">
        <v>42</v>
      </c>
      <c r="B44" s="372" t="s">
        <v>317</v>
      </c>
      <c r="C44" s="372" t="s">
        <v>122</v>
      </c>
      <c r="D44" s="373" t="s">
        <v>123</v>
      </c>
      <c r="E44" s="362"/>
      <c r="F44" s="16"/>
      <c r="G44" s="16">
        <v>1</v>
      </c>
      <c r="H44" s="16"/>
      <c r="I44" s="16"/>
      <c r="J44" s="337">
        <f t="shared" si="0"/>
        <v>1</v>
      </c>
      <c r="K44" s="16">
        <v>2</v>
      </c>
      <c r="L44" s="93"/>
      <c r="M44" s="346">
        <f>VLOOKUP($C44,'2015 ProForma'!$A:$G, 2, FALSE)*E44</f>
        <v>0</v>
      </c>
      <c r="N44" s="338">
        <f>VLOOKUP($C44,'2015 ProForma'!$A:$G, 3, FALSE)*F44</f>
        <v>0</v>
      </c>
      <c r="O44" s="338">
        <f>VLOOKUP($C44,'2015 ProForma'!$A:$G, 4, FALSE)*G44</f>
        <v>187286.90140099998</v>
      </c>
      <c r="P44" s="338">
        <f>VLOOKUP($C44,'2015 ProForma'!$A:$G, 5, FALSE)*H44</f>
        <v>0</v>
      </c>
      <c r="Q44" s="338">
        <f>VLOOKUP($C44,'2015 ProForma'!$A:$G, 6, FALSE)*I44</f>
        <v>0</v>
      </c>
      <c r="R44" s="339">
        <f t="shared" si="1"/>
        <v>187286.90140099998</v>
      </c>
      <c r="S44" s="340">
        <f>VLOOKUP($C44,'2015 ProForma'!$A:$G, 7, FALSE)*K44</f>
        <v>37237.544238486415</v>
      </c>
    </row>
    <row r="45" spans="1:19" x14ac:dyDescent="0.3">
      <c r="A45" s="371">
        <v>43</v>
      </c>
      <c r="B45" s="372" t="s">
        <v>124</v>
      </c>
      <c r="C45" s="372" t="s">
        <v>411</v>
      </c>
      <c r="D45" s="373" t="s">
        <v>125</v>
      </c>
      <c r="E45" s="362"/>
      <c r="F45" s="16"/>
      <c r="G45" s="16">
        <v>1</v>
      </c>
      <c r="H45" s="16">
        <v>1</v>
      </c>
      <c r="I45" s="16"/>
      <c r="J45" s="337">
        <f t="shared" si="0"/>
        <v>2</v>
      </c>
      <c r="K45" s="16">
        <v>3</v>
      </c>
      <c r="L45" s="93"/>
      <c r="M45" s="346">
        <f>VLOOKUP($C45,'2015 ProForma'!$A:$G, 2, FALSE)*E45</f>
        <v>0</v>
      </c>
      <c r="N45" s="338">
        <f>VLOOKUP($C45,'2015 ProForma'!$A:$G, 3, FALSE)*F45</f>
        <v>0</v>
      </c>
      <c r="O45" s="338">
        <f>VLOOKUP($C45,'2015 ProForma'!$A:$G, 4, FALSE)*G45</f>
        <v>186563.78628957501</v>
      </c>
      <c r="P45" s="338">
        <f>VLOOKUP($C45,'2015 ProForma'!$A:$G, 5, FALSE)*H45</f>
        <v>158277.10224197412</v>
      </c>
      <c r="Q45" s="338">
        <f>VLOOKUP($C45,'2015 ProForma'!$A:$G, 6, FALSE)*I45</f>
        <v>0</v>
      </c>
      <c r="R45" s="339">
        <f t="shared" si="1"/>
        <v>344840.88853154914</v>
      </c>
      <c r="S45" s="340">
        <f>VLOOKUP($C45,'2015 ProForma'!$A:$G, 7, FALSE)*K45</f>
        <v>134260.67584139085</v>
      </c>
    </row>
    <row r="46" spans="1:19" x14ac:dyDescent="0.3">
      <c r="A46" s="371">
        <v>44</v>
      </c>
      <c r="B46" s="372" t="s">
        <v>126</v>
      </c>
      <c r="C46" s="372" t="s">
        <v>373</v>
      </c>
      <c r="D46" s="373" t="s">
        <v>127</v>
      </c>
      <c r="E46" s="362"/>
      <c r="F46" s="16"/>
      <c r="G46" s="16">
        <v>1</v>
      </c>
      <c r="H46" s="16"/>
      <c r="I46" s="16"/>
      <c r="J46" s="337">
        <f t="shared" si="0"/>
        <v>1</v>
      </c>
      <c r="K46" s="16">
        <v>2</v>
      </c>
      <c r="L46" s="93"/>
      <c r="M46" s="346">
        <f>VLOOKUP($C46,'2015 ProForma'!$A:$G, 2, FALSE)*E46</f>
        <v>0</v>
      </c>
      <c r="N46" s="338">
        <f>VLOOKUP($C46,'2015 ProForma'!$A:$G, 3, FALSE)*F46</f>
        <v>0</v>
      </c>
      <c r="O46" s="338">
        <f>VLOOKUP($C46,'2015 ProForma'!$A:$G, 4, FALSE)*G46</f>
        <v>218101.83635364164</v>
      </c>
      <c r="P46" s="338">
        <f>VLOOKUP($C46,'2015 ProForma'!$A:$G, 5, FALSE)*H46</f>
        <v>0</v>
      </c>
      <c r="Q46" s="338">
        <f>VLOOKUP($C46,'2015 ProForma'!$A:$G, 6, FALSE)*I46</f>
        <v>0</v>
      </c>
      <c r="R46" s="339">
        <f t="shared" si="1"/>
        <v>218101.83635364164</v>
      </c>
      <c r="S46" s="340">
        <f>VLOOKUP($C46,'2015 ProForma'!$A:$G, 7, FALSE)*K46</f>
        <v>45749.380618522096</v>
      </c>
    </row>
    <row r="47" spans="1:19" x14ac:dyDescent="0.3">
      <c r="A47" s="371">
        <v>45</v>
      </c>
      <c r="B47" s="372" t="s">
        <v>128</v>
      </c>
      <c r="C47" s="372" t="s">
        <v>374</v>
      </c>
      <c r="D47" s="373" t="s">
        <v>129</v>
      </c>
      <c r="E47" s="362"/>
      <c r="F47" s="16"/>
      <c r="G47" s="16">
        <v>1</v>
      </c>
      <c r="H47" s="16"/>
      <c r="I47" s="16"/>
      <c r="J47" s="337">
        <f t="shared" si="0"/>
        <v>1</v>
      </c>
      <c r="K47" s="16">
        <v>2</v>
      </c>
      <c r="L47" s="93"/>
      <c r="M47" s="346">
        <f>VLOOKUP($C47,'2015 ProForma'!$A:$G, 2, FALSE)*E47</f>
        <v>0</v>
      </c>
      <c r="N47" s="338">
        <f>VLOOKUP($C47,'2015 ProForma'!$A:$G, 3, FALSE)*F47</f>
        <v>0</v>
      </c>
      <c r="O47" s="338">
        <f>VLOOKUP($C47,'2015 ProForma'!$A:$G, 4, FALSE)*G47</f>
        <v>210788.99166983334</v>
      </c>
      <c r="P47" s="338">
        <f>VLOOKUP($C47,'2015 ProForma'!$A:$G, 5, FALSE)*H47</f>
        <v>0</v>
      </c>
      <c r="Q47" s="338">
        <f>VLOOKUP($C47,'2015 ProForma'!$A:$G, 6, FALSE)*I47</f>
        <v>0</v>
      </c>
      <c r="R47" s="339">
        <f t="shared" si="1"/>
        <v>210788.99166983334</v>
      </c>
      <c r="S47" s="340">
        <f>VLOOKUP($C47,'2015 ProForma'!$A:$G, 7, FALSE)*K47</f>
        <v>76363.830399112281</v>
      </c>
    </row>
    <row r="48" spans="1:19" x14ac:dyDescent="0.3">
      <c r="A48" s="371">
        <v>46</v>
      </c>
      <c r="B48" s="372" t="s">
        <v>131</v>
      </c>
      <c r="C48" s="372" t="s">
        <v>130</v>
      </c>
      <c r="D48" s="373" t="s">
        <v>132</v>
      </c>
      <c r="E48" s="362"/>
      <c r="F48" s="16"/>
      <c r="G48" s="16">
        <v>1</v>
      </c>
      <c r="H48" s="16"/>
      <c r="I48" s="16"/>
      <c r="J48" s="337">
        <f t="shared" si="0"/>
        <v>1</v>
      </c>
      <c r="K48" s="16">
        <v>2</v>
      </c>
      <c r="L48" s="93"/>
      <c r="M48" s="346">
        <f>VLOOKUP($C48,'2015 ProForma'!$A:$G, 2, FALSE)*E48</f>
        <v>0</v>
      </c>
      <c r="N48" s="338">
        <f>VLOOKUP($C48,'2015 ProForma'!$A:$G, 3, FALSE)*F48</f>
        <v>0</v>
      </c>
      <c r="O48" s="338">
        <f>VLOOKUP($C48,'2015 ProForma'!$A:$G, 4, FALSE)*G48</f>
        <v>188665.28707879165</v>
      </c>
      <c r="P48" s="338">
        <f>VLOOKUP($C48,'2015 ProForma'!$A:$G, 5, FALSE)*H48</f>
        <v>0</v>
      </c>
      <c r="Q48" s="338">
        <f>VLOOKUP($C48,'2015 ProForma'!$A:$G, 6, FALSE)*I48</f>
        <v>0</v>
      </c>
      <c r="R48" s="339">
        <f t="shared" si="1"/>
        <v>188665.28707879165</v>
      </c>
      <c r="S48" s="340">
        <f>VLOOKUP($C48,'2015 ProForma'!$A:$G, 7, FALSE)*K48</f>
        <v>45094.401579334532</v>
      </c>
    </row>
    <row r="49" spans="1:19" x14ac:dyDescent="0.3">
      <c r="A49" s="371">
        <v>47</v>
      </c>
      <c r="B49" s="372" t="s">
        <v>133</v>
      </c>
      <c r="C49" s="372" t="s">
        <v>412</v>
      </c>
      <c r="D49" s="373" t="s">
        <v>134</v>
      </c>
      <c r="E49" s="362"/>
      <c r="F49" s="16">
        <v>1</v>
      </c>
      <c r="G49" s="16">
        <v>1</v>
      </c>
      <c r="H49" s="16">
        <v>1</v>
      </c>
      <c r="I49" s="16"/>
      <c r="J49" s="337">
        <f t="shared" si="0"/>
        <v>3</v>
      </c>
      <c r="K49" s="16">
        <v>5</v>
      </c>
      <c r="L49" s="93"/>
      <c r="M49" s="346">
        <f>VLOOKUP($C49,'2015 ProForma'!$A:$G, 2, FALSE)*E49</f>
        <v>0</v>
      </c>
      <c r="N49" s="338">
        <f>VLOOKUP($C49,'2015 ProForma'!$A:$G, 3, FALSE)*F49</f>
        <v>278288.10866490885</v>
      </c>
      <c r="O49" s="338">
        <f>VLOOKUP($C49,'2015 ProForma'!$A:$G, 4, FALSE)*G49</f>
        <v>249108.19058236663</v>
      </c>
      <c r="P49" s="338">
        <f>VLOOKUP($C49,'2015 ProForma'!$A:$G, 5, FALSE)*H49</f>
        <v>218265.19502482377</v>
      </c>
      <c r="Q49" s="338">
        <f>VLOOKUP($C49,'2015 ProForma'!$A:$G, 6, FALSE)*I49</f>
        <v>0</v>
      </c>
      <c r="R49" s="339">
        <f t="shared" si="1"/>
        <v>745661.49427209923</v>
      </c>
      <c r="S49" s="340">
        <f>VLOOKUP($C49,'2015 ProForma'!$A:$G, 7, FALSE)*K49</f>
        <v>165206.09623568022</v>
      </c>
    </row>
    <row r="50" spans="1:19" x14ac:dyDescent="0.3">
      <c r="A50" s="371">
        <v>48</v>
      </c>
      <c r="B50" s="372" t="s">
        <v>135</v>
      </c>
      <c r="C50" s="372" t="s">
        <v>413</v>
      </c>
      <c r="D50" s="373" t="s">
        <v>136</v>
      </c>
      <c r="E50" s="362"/>
      <c r="F50" s="16"/>
      <c r="G50" s="16">
        <v>1</v>
      </c>
      <c r="H50" s="16"/>
      <c r="I50" s="16"/>
      <c r="J50" s="337">
        <f t="shared" si="0"/>
        <v>1</v>
      </c>
      <c r="K50" s="16">
        <v>3</v>
      </c>
      <c r="L50" s="93"/>
      <c r="M50" s="346">
        <f>VLOOKUP($C50,'2015 ProForma'!$A:$G, 2, FALSE)*E50</f>
        <v>0</v>
      </c>
      <c r="N50" s="338">
        <f>VLOOKUP($C50,'2015 ProForma'!$A:$G, 3, FALSE)*F50</f>
        <v>0</v>
      </c>
      <c r="O50" s="338">
        <f>VLOOKUP($C50,'2015 ProForma'!$A:$G, 4, FALSE)*G50</f>
        <v>174223.20068135834</v>
      </c>
      <c r="P50" s="338">
        <f>VLOOKUP($C50,'2015 ProForma'!$A:$G, 5, FALSE)*H50</f>
        <v>0</v>
      </c>
      <c r="Q50" s="338">
        <f>VLOOKUP($C50,'2015 ProForma'!$A:$G, 6, FALSE)*I50</f>
        <v>0</v>
      </c>
      <c r="R50" s="339">
        <f t="shared" si="1"/>
        <v>174223.20068135834</v>
      </c>
      <c r="S50" s="340">
        <f>VLOOKUP($C50,'2015 ProForma'!$A:$G, 7, FALSE)*K50</f>
        <v>98110.835565062283</v>
      </c>
    </row>
    <row r="51" spans="1:19" x14ac:dyDescent="0.3">
      <c r="A51" s="371">
        <v>49</v>
      </c>
      <c r="B51" s="372" t="s">
        <v>138</v>
      </c>
      <c r="C51" s="372" t="s">
        <v>137</v>
      </c>
      <c r="D51" s="373" t="s">
        <v>139</v>
      </c>
      <c r="E51" s="362"/>
      <c r="F51" s="16">
        <v>1</v>
      </c>
      <c r="G51" s="16">
        <v>1</v>
      </c>
      <c r="H51" s="16">
        <v>1</v>
      </c>
      <c r="I51" s="16"/>
      <c r="J51" s="337">
        <f t="shared" si="0"/>
        <v>3</v>
      </c>
      <c r="K51" s="16">
        <v>4</v>
      </c>
      <c r="L51" s="93"/>
      <c r="M51" s="346">
        <f>VLOOKUP($C51,'2015 ProForma'!$A:$G, 2, FALSE)*E51</f>
        <v>0</v>
      </c>
      <c r="N51" s="338">
        <f>VLOOKUP($C51,'2015 ProForma'!$A:$G, 3, FALSE)*F51</f>
        <v>213214.30986914138</v>
      </c>
      <c r="O51" s="338">
        <f>VLOOKUP($C51,'2015 ProForma'!$A:$G, 4, FALSE)*G51</f>
        <v>185840.67117815002</v>
      </c>
      <c r="P51" s="338">
        <f>VLOOKUP($C51,'2015 ProForma'!$A:$G, 5, FALSE)*H51</f>
        <v>157686.8709736724</v>
      </c>
      <c r="Q51" s="338">
        <f>VLOOKUP($C51,'2015 ProForma'!$A:$G, 6, FALSE)*I51</f>
        <v>0</v>
      </c>
      <c r="R51" s="339">
        <f t="shared" si="1"/>
        <v>556741.85202096379</v>
      </c>
      <c r="S51" s="340">
        <f>VLOOKUP($C51,'2015 ProForma'!$A:$G, 7, FALSE)*K51</f>
        <v>100532.45774487771</v>
      </c>
    </row>
    <row r="52" spans="1:19" x14ac:dyDescent="0.3">
      <c r="A52" s="371">
        <v>50</v>
      </c>
      <c r="B52" s="372" t="s">
        <v>140</v>
      </c>
      <c r="C52" s="372" t="s">
        <v>392</v>
      </c>
      <c r="D52" s="373" t="s">
        <v>141</v>
      </c>
      <c r="E52" s="362"/>
      <c r="F52" s="16">
        <v>1</v>
      </c>
      <c r="G52" s="16">
        <v>2</v>
      </c>
      <c r="H52" s="16">
        <v>2</v>
      </c>
      <c r="I52" s="16"/>
      <c r="J52" s="337">
        <f t="shared" si="0"/>
        <v>5</v>
      </c>
      <c r="K52" s="16">
        <v>9</v>
      </c>
      <c r="L52" s="93"/>
      <c r="M52" s="346">
        <f>VLOOKUP($C52,'2015 ProForma'!$A:$G, 2, FALSE)*E52</f>
        <v>0</v>
      </c>
      <c r="N52" s="338">
        <f>VLOOKUP($C52,'2015 ProForma'!$A:$G, 3, FALSE)*F52</f>
        <v>212354.36544341897</v>
      </c>
      <c r="O52" s="338">
        <f>VLOOKUP($C52,'2015 ProForma'!$A:$G, 4, FALSE)*G52</f>
        <v>370235.11213344999</v>
      </c>
      <c r="P52" s="338">
        <f>VLOOKUP($C52,'2015 ProForma'!$A:$G, 5, FALSE)*H52</f>
        <v>314193.27941074135</v>
      </c>
      <c r="Q52" s="338">
        <f>VLOOKUP($C52,'2015 ProForma'!$A:$G, 6, FALSE)*I52</f>
        <v>0</v>
      </c>
      <c r="R52" s="339">
        <f t="shared" si="1"/>
        <v>896782.75698761037</v>
      </c>
      <c r="S52" s="340">
        <f>VLOOKUP($C52,'2015 ProForma'!$A:$G, 7, FALSE)*K52</f>
        <v>259205.22837799764</v>
      </c>
    </row>
    <row r="53" spans="1:19" x14ac:dyDescent="0.3">
      <c r="A53" s="371">
        <v>51</v>
      </c>
      <c r="B53" s="372" t="s">
        <v>142</v>
      </c>
      <c r="C53" s="372" t="s">
        <v>393</v>
      </c>
      <c r="D53" s="373" t="s">
        <v>143</v>
      </c>
      <c r="E53" s="362"/>
      <c r="F53" s="16"/>
      <c r="G53" s="16">
        <v>1</v>
      </c>
      <c r="H53" s="16"/>
      <c r="I53" s="16">
        <v>1</v>
      </c>
      <c r="J53" s="337">
        <f t="shared" si="0"/>
        <v>2</v>
      </c>
      <c r="K53" s="16">
        <v>4</v>
      </c>
      <c r="L53" s="93"/>
      <c r="M53" s="346">
        <f>VLOOKUP($C53,'2015 ProForma'!$A:$G, 2, FALSE)*E53</f>
        <v>0</v>
      </c>
      <c r="N53" s="338">
        <f>VLOOKUP($C53,'2015 ProForma'!$A:$G, 3, FALSE)*F53</f>
        <v>0</v>
      </c>
      <c r="O53" s="338">
        <f>VLOOKUP($C53,'2015 ProForma'!$A:$G, 4, FALSE)*G53</f>
        <v>202353.46303508335</v>
      </c>
      <c r="P53" s="338">
        <f>VLOOKUP($C53,'2015 ProForma'!$A:$G, 5, FALSE)*H53</f>
        <v>0</v>
      </c>
      <c r="Q53" s="338">
        <f>VLOOKUP($C53,'2015 ProForma'!$A:$G, 6, FALSE)*I53</f>
        <v>152760.37650749041</v>
      </c>
      <c r="R53" s="339">
        <f t="shared" si="1"/>
        <v>355113.83954257378</v>
      </c>
      <c r="S53" s="340">
        <f>VLOOKUP($C53,'2015 ProForma'!$A:$G, 7, FALSE)*K53</f>
        <v>172317.12121857898</v>
      </c>
    </row>
    <row r="54" spans="1:19" x14ac:dyDescent="0.3">
      <c r="A54" s="371">
        <v>52</v>
      </c>
      <c r="B54" s="372" t="s">
        <v>145</v>
      </c>
      <c r="C54" s="372" t="s">
        <v>144</v>
      </c>
      <c r="D54" s="373" t="s">
        <v>146</v>
      </c>
      <c r="E54" s="362"/>
      <c r="F54" s="16">
        <v>1</v>
      </c>
      <c r="G54" s="16">
        <v>5</v>
      </c>
      <c r="H54" s="16">
        <v>2</v>
      </c>
      <c r="I54" s="16"/>
      <c r="J54" s="337">
        <f t="shared" si="0"/>
        <v>8</v>
      </c>
      <c r="K54" s="16">
        <v>6</v>
      </c>
      <c r="L54" s="93"/>
      <c r="M54" s="346">
        <f>VLOOKUP($C54,'2015 ProForma'!$A:$G, 2, FALSE)*E54</f>
        <v>0</v>
      </c>
      <c r="N54" s="338">
        <f>VLOOKUP($C54,'2015 ProForma'!$A:$G, 3, FALSE)*F54</f>
        <v>285117.61931321013</v>
      </c>
      <c r="O54" s="338">
        <f>VLOOKUP($C54,'2015 ProForma'!$A:$G, 4, FALSE)*G54</f>
        <v>1283783.2999715416</v>
      </c>
      <c r="P54" s="338">
        <f>VLOOKUP($C54,'2015 ProForma'!$A:$G, 5, FALSE)*H54</f>
        <v>453418.01707409386</v>
      </c>
      <c r="Q54" s="338">
        <f>VLOOKUP($C54,'2015 ProForma'!$A:$G, 6, FALSE)*I54</f>
        <v>0</v>
      </c>
      <c r="R54" s="339">
        <f t="shared" si="1"/>
        <v>2022318.9363588456</v>
      </c>
      <c r="S54" s="340">
        <f>VLOOKUP($C54,'2015 ProForma'!$A:$G, 7, FALSE)*K54</f>
        <v>276710.00040858798</v>
      </c>
    </row>
    <row r="55" spans="1:19" x14ac:dyDescent="0.3">
      <c r="A55" s="371">
        <v>53</v>
      </c>
      <c r="B55" s="372" t="s">
        <v>151</v>
      </c>
      <c r="C55" s="372" t="s">
        <v>150</v>
      </c>
      <c r="D55" s="373" t="s">
        <v>152</v>
      </c>
      <c r="E55" s="362"/>
      <c r="F55" s="16"/>
      <c r="G55" s="16">
        <v>1</v>
      </c>
      <c r="H55" s="16"/>
      <c r="I55" s="16"/>
      <c r="J55" s="337">
        <f t="shared" si="0"/>
        <v>1</v>
      </c>
      <c r="K55" s="16">
        <v>2</v>
      </c>
      <c r="L55" s="93"/>
      <c r="M55" s="346">
        <f>VLOOKUP($C55,'2015 ProForma'!$A:$G, 2, FALSE)*E55</f>
        <v>0</v>
      </c>
      <c r="N55" s="338">
        <f>VLOOKUP($C55,'2015 ProForma'!$A:$G, 3, FALSE)*F55</f>
        <v>0</v>
      </c>
      <c r="O55" s="338">
        <f>VLOOKUP($C55,'2015 ProForma'!$A:$G, 4, FALSE)*G55</f>
        <v>186885.17078354169</v>
      </c>
      <c r="P55" s="338">
        <f>VLOOKUP($C55,'2015 ProForma'!$A:$G, 5, FALSE)*H55</f>
        <v>0</v>
      </c>
      <c r="Q55" s="338">
        <f>VLOOKUP($C55,'2015 ProForma'!$A:$G, 6, FALSE)*I55</f>
        <v>0</v>
      </c>
      <c r="R55" s="339">
        <f t="shared" si="1"/>
        <v>186885.17078354169</v>
      </c>
      <c r="S55" s="340">
        <f>VLOOKUP($C55,'2015 ProForma'!$A:$G, 7, FALSE)*K55</f>
        <v>59161.45357975729</v>
      </c>
    </row>
    <row r="56" spans="1:19" x14ac:dyDescent="0.3">
      <c r="A56" s="371">
        <v>54</v>
      </c>
      <c r="B56" s="372" t="s">
        <v>154</v>
      </c>
      <c r="C56" s="372" t="s">
        <v>153</v>
      </c>
      <c r="D56" s="373" t="s">
        <v>155</v>
      </c>
      <c r="E56" s="362"/>
      <c r="F56" s="16">
        <v>1</v>
      </c>
      <c r="G56" s="16">
        <v>2</v>
      </c>
      <c r="H56" s="16">
        <v>2</v>
      </c>
      <c r="I56" s="16"/>
      <c r="J56" s="337">
        <f t="shared" si="0"/>
        <v>5</v>
      </c>
      <c r="K56" s="16">
        <v>6</v>
      </c>
      <c r="L56" s="93"/>
      <c r="M56" s="346">
        <f>VLOOKUP($C56,'2015 ProForma'!$A:$G, 2, FALSE)*E56</f>
        <v>0</v>
      </c>
      <c r="N56" s="338">
        <f>VLOOKUP($C56,'2015 ProForma'!$A:$G, 3, FALSE)*F56</f>
        <v>214636.96961046994</v>
      </c>
      <c r="O56" s="338">
        <f>VLOOKUP($C56,'2015 ProForma'!$A:$G, 4, FALSE)*G56</f>
        <v>372550.23841021664</v>
      </c>
      <c r="P56" s="338">
        <f>VLOOKUP($C56,'2015 ProForma'!$A:$G, 5, FALSE)*H56</f>
        <v>315565.90471170301</v>
      </c>
      <c r="Q56" s="338">
        <f>VLOOKUP($C56,'2015 ProForma'!$A:$G, 6, FALSE)*I56</f>
        <v>0</v>
      </c>
      <c r="R56" s="339">
        <f t="shared" si="1"/>
        <v>902753.11273238971</v>
      </c>
      <c r="S56" s="340">
        <f>VLOOKUP($C56,'2015 ProForma'!$A:$G, 7, FALSE)*K56</f>
        <v>222559.62629079877</v>
      </c>
    </row>
    <row r="57" spans="1:19" x14ac:dyDescent="0.3">
      <c r="A57" s="371">
        <v>55</v>
      </c>
      <c r="B57" s="372" t="s">
        <v>594</v>
      </c>
      <c r="C57" s="372" t="s">
        <v>156</v>
      </c>
      <c r="D57" s="373" t="s">
        <v>158</v>
      </c>
      <c r="E57" s="362"/>
      <c r="F57" s="16"/>
      <c r="G57" s="16">
        <v>1</v>
      </c>
      <c r="H57" s="16"/>
      <c r="I57" s="16"/>
      <c r="J57" s="337">
        <f t="shared" si="0"/>
        <v>1</v>
      </c>
      <c r="K57" s="16">
        <v>2</v>
      </c>
      <c r="L57" s="93"/>
      <c r="M57" s="346">
        <f>VLOOKUP($C57,'2015 ProForma'!$A:$G, 2, FALSE)*E57</f>
        <v>0</v>
      </c>
      <c r="N57" s="338">
        <f>VLOOKUP($C57,'2015 ProForma'!$A:$G, 3, FALSE)*F57</f>
        <v>0</v>
      </c>
      <c r="O57" s="338">
        <f>VLOOKUP($C57,'2015 ProForma'!$A:$G, 4, FALSE)*G57</f>
        <v>183269.59522641666</v>
      </c>
      <c r="P57" s="338">
        <f>VLOOKUP($C57,'2015 ProForma'!$A:$G, 5, FALSE)*H57</f>
        <v>0</v>
      </c>
      <c r="Q57" s="338">
        <f>VLOOKUP($C57,'2015 ProForma'!$A:$G, 6, FALSE)*I57</f>
        <v>0</v>
      </c>
      <c r="R57" s="339">
        <f t="shared" si="1"/>
        <v>183269.59522641666</v>
      </c>
      <c r="S57" s="340">
        <f>VLOOKUP($C57,'2015 ProForma'!$A:$G, 7, FALSE)*K57</f>
        <v>68493.402446205422</v>
      </c>
    </row>
    <row r="58" spans="1:19" x14ac:dyDescent="0.3">
      <c r="A58" s="371">
        <v>56</v>
      </c>
      <c r="B58" s="372" t="s">
        <v>162</v>
      </c>
      <c r="C58" s="372" t="s">
        <v>161</v>
      </c>
      <c r="D58" s="373" t="s">
        <v>163</v>
      </c>
      <c r="E58" s="362"/>
      <c r="F58" s="16"/>
      <c r="G58" s="16">
        <v>6</v>
      </c>
      <c r="H58" s="16">
        <v>3</v>
      </c>
      <c r="I58" s="16"/>
      <c r="J58" s="337">
        <f t="shared" si="0"/>
        <v>9</v>
      </c>
      <c r="K58" s="16">
        <v>6</v>
      </c>
      <c r="L58" s="93"/>
      <c r="M58" s="346">
        <f>VLOOKUP($C58,'2015 ProForma'!$A:$G, 2, FALSE)*E58</f>
        <v>0</v>
      </c>
      <c r="N58" s="338">
        <f>VLOOKUP($C58,'2015 ProForma'!$A:$G, 3, FALSE)*F58</f>
        <v>0</v>
      </c>
      <c r="O58" s="338">
        <f>VLOOKUP($C58,'2015 ProForma'!$A:$G, 4, FALSE)*G58</f>
        <v>1147975.4050722499</v>
      </c>
      <c r="P58" s="338">
        <f>VLOOKUP($C58,'2015 ProForma'!$A:$G, 5, FALSE)*H58</f>
        <v>487176.1330783132</v>
      </c>
      <c r="Q58" s="338">
        <f>VLOOKUP($C58,'2015 ProForma'!$A:$G, 6, FALSE)*I58</f>
        <v>0</v>
      </c>
      <c r="R58" s="339">
        <f t="shared" si="1"/>
        <v>1635151.5381505631</v>
      </c>
      <c r="S58" s="340">
        <f>VLOOKUP($C58,'2015 ProForma'!$A:$G, 7, FALSE)*K58</f>
        <v>214914.29953121691</v>
      </c>
    </row>
    <row r="59" spans="1:19" x14ac:dyDescent="0.3">
      <c r="A59" s="371">
        <v>57</v>
      </c>
      <c r="B59" s="372" t="s">
        <v>604</v>
      </c>
      <c r="C59" s="372" t="s">
        <v>312</v>
      </c>
      <c r="D59" s="373" t="s">
        <v>160</v>
      </c>
      <c r="E59" s="362"/>
      <c r="F59" s="16"/>
      <c r="G59" s="16">
        <v>1</v>
      </c>
      <c r="H59" s="16"/>
      <c r="I59" s="16"/>
      <c r="J59" s="337">
        <f t="shared" si="0"/>
        <v>1</v>
      </c>
      <c r="K59" s="16">
        <v>2</v>
      </c>
      <c r="L59" s="93"/>
      <c r="M59" s="346">
        <f>VLOOKUP($C59,'2015 ProForma'!$A:$G, 2, FALSE)*E59</f>
        <v>0</v>
      </c>
      <c r="N59" s="338">
        <f>VLOOKUP($C59,'2015 ProForma'!$A:$G, 3, FALSE)*F59</f>
        <v>0</v>
      </c>
      <c r="O59" s="338">
        <f>VLOOKUP($C59,'2015 ProForma'!$A:$G, 4, FALSE)*G59</f>
        <v>180228.94411216668</v>
      </c>
      <c r="P59" s="338">
        <f>VLOOKUP($C59,'2015 ProForma'!$A:$G, 5, FALSE)*H59</f>
        <v>0</v>
      </c>
      <c r="Q59" s="338">
        <f>VLOOKUP($C59,'2015 ProForma'!$A:$G, 6, FALSE)*I59</f>
        <v>0</v>
      </c>
      <c r="R59" s="339">
        <f t="shared" si="1"/>
        <v>180228.94411216668</v>
      </c>
      <c r="S59" s="340">
        <f>VLOOKUP($C59,'2015 ProForma'!$A:$G, 7, FALSE)*K59</f>
        <v>74943.977661045879</v>
      </c>
    </row>
    <row r="60" spans="1:19" x14ac:dyDescent="0.3">
      <c r="A60" s="371">
        <v>58</v>
      </c>
      <c r="B60" s="372" t="s">
        <v>164</v>
      </c>
      <c r="C60" s="372" t="s">
        <v>403</v>
      </c>
      <c r="D60" s="373" t="s">
        <v>165</v>
      </c>
      <c r="E60" s="362"/>
      <c r="F60" s="16"/>
      <c r="G60" s="16">
        <v>1</v>
      </c>
      <c r="H60" s="16"/>
      <c r="I60" s="16"/>
      <c r="J60" s="337">
        <f t="shared" si="0"/>
        <v>1</v>
      </c>
      <c r="K60" s="16">
        <v>2</v>
      </c>
      <c r="L60" s="93"/>
      <c r="M60" s="346">
        <f>VLOOKUP($C60,'2015 ProForma'!$A:$G, 2, FALSE)*E60</f>
        <v>0</v>
      </c>
      <c r="N60" s="338">
        <f>VLOOKUP($C60,'2015 ProForma'!$A:$G, 3, FALSE)*F60</f>
        <v>0</v>
      </c>
      <c r="O60" s="338">
        <f>VLOOKUP($C60,'2015 ProForma'!$A:$G, 4, FALSE)*G60</f>
        <v>196526.70560254165</v>
      </c>
      <c r="P60" s="338">
        <f>VLOOKUP($C60,'2015 ProForma'!$A:$G, 5, FALSE)*H60</f>
        <v>0</v>
      </c>
      <c r="Q60" s="338">
        <f>VLOOKUP($C60,'2015 ProForma'!$A:$G, 6, FALSE)*I60</f>
        <v>0</v>
      </c>
      <c r="R60" s="339">
        <f t="shared" si="1"/>
        <v>196526.70560254165</v>
      </c>
      <c r="S60" s="340">
        <f>VLOOKUP($C60,'2015 ProForma'!$A:$G, 7, FALSE)*K60</f>
        <v>146201.77853449254</v>
      </c>
    </row>
    <row r="61" spans="1:19" x14ac:dyDescent="0.3">
      <c r="A61" s="371">
        <v>59</v>
      </c>
      <c r="B61" s="372" t="s">
        <v>166</v>
      </c>
      <c r="C61" s="372" t="s">
        <v>415</v>
      </c>
      <c r="D61" s="373" t="s">
        <v>167</v>
      </c>
      <c r="E61" s="362"/>
      <c r="F61" s="16"/>
      <c r="G61" s="16">
        <v>1</v>
      </c>
      <c r="H61" s="16">
        <v>1</v>
      </c>
      <c r="I61" s="16"/>
      <c r="J61" s="337">
        <f t="shared" si="0"/>
        <v>2</v>
      </c>
      <c r="K61" s="16">
        <v>4</v>
      </c>
      <c r="L61" s="93"/>
      <c r="M61" s="346">
        <f>VLOOKUP($C61,'2015 ProForma'!$A:$G, 2, FALSE)*E61</f>
        <v>0</v>
      </c>
      <c r="N61" s="338">
        <f>VLOOKUP($C61,'2015 ProForma'!$A:$G, 3, FALSE)*F61</f>
        <v>0</v>
      </c>
      <c r="O61" s="338">
        <f>VLOOKUP($C61,'2015 ProForma'!$A:$G, 4, FALSE)*G61</f>
        <v>188879.40554395833</v>
      </c>
      <c r="P61" s="338">
        <f>VLOOKUP($C61,'2015 ProForma'!$A:$G, 5, FALSE)*H61</f>
        <v>160392.41049843197</v>
      </c>
      <c r="Q61" s="338">
        <f>VLOOKUP($C61,'2015 ProForma'!$A:$G, 6, FALSE)*I61</f>
        <v>0</v>
      </c>
      <c r="R61" s="339">
        <f t="shared" si="1"/>
        <v>349271.8160423903</v>
      </c>
      <c r="S61" s="340">
        <f>VLOOKUP($C61,'2015 ProForma'!$A:$G, 7, FALSE)*K61</f>
        <v>88599.129046256872</v>
      </c>
    </row>
    <row r="62" spans="1:19" x14ac:dyDescent="0.3">
      <c r="A62" s="371">
        <v>60</v>
      </c>
      <c r="B62" s="372" t="s">
        <v>169</v>
      </c>
      <c r="C62" s="372" t="s">
        <v>168</v>
      </c>
      <c r="D62" s="373" t="s">
        <v>170</v>
      </c>
      <c r="E62" s="362"/>
      <c r="F62" s="16"/>
      <c r="G62" s="16"/>
      <c r="H62" s="16"/>
      <c r="I62" s="16"/>
      <c r="J62" s="337">
        <f t="shared" si="0"/>
        <v>0</v>
      </c>
      <c r="K62" s="16">
        <v>2</v>
      </c>
      <c r="L62" s="93"/>
      <c r="M62" s="346">
        <f>VLOOKUP($C62,'2015 ProForma'!$A:$G, 2, FALSE)*E62</f>
        <v>0</v>
      </c>
      <c r="N62" s="338">
        <f>VLOOKUP($C62,'2015 ProForma'!$A:$G, 3, FALSE)*F62</f>
        <v>0</v>
      </c>
      <c r="O62" s="338">
        <f>VLOOKUP($C62,'2015 ProForma'!$A:$G, 4, FALSE)*G62</f>
        <v>0</v>
      </c>
      <c r="P62" s="338">
        <f>VLOOKUP($C62,'2015 ProForma'!$A:$G, 5, FALSE)*H62</f>
        <v>0</v>
      </c>
      <c r="Q62" s="338">
        <f>VLOOKUP($C62,'2015 ProForma'!$A:$G, 6, FALSE)*I62</f>
        <v>0</v>
      </c>
      <c r="R62" s="339">
        <f t="shared" si="1"/>
        <v>0</v>
      </c>
      <c r="S62" s="340">
        <f>VLOOKUP($C62,'2015 ProForma'!$A:$G, 7, FALSE)*K62</f>
        <v>29286.594253637471</v>
      </c>
    </row>
    <row r="63" spans="1:19" x14ac:dyDescent="0.3">
      <c r="A63" s="371">
        <v>61</v>
      </c>
      <c r="B63" s="372" t="s">
        <v>171</v>
      </c>
      <c r="C63" s="372" t="s">
        <v>404</v>
      </c>
      <c r="D63" s="373" t="s">
        <v>172</v>
      </c>
      <c r="E63" s="362"/>
      <c r="F63" s="16">
        <v>1</v>
      </c>
      <c r="G63" s="16">
        <v>1</v>
      </c>
      <c r="H63" s="16">
        <v>3</v>
      </c>
      <c r="I63" s="16"/>
      <c r="J63" s="337">
        <f t="shared" si="0"/>
        <v>5</v>
      </c>
      <c r="K63" s="16">
        <v>5</v>
      </c>
      <c r="L63" s="93"/>
      <c r="M63" s="346">
        <f>VLOOKUP($C63,'2015 ProForma'!$A:$G, 2, FALSE)*E63</f>
        <v>0</v>
      </c>
      <c r="N63" s="338">
        <f>VLOOKUP($C63,'2015 ProForma'!$A:$G, 3, FALSE)*F63</f>
        <v>220847.67935179843</v>
      </c>
      <c r="O63" s="338">
        <f>VLOOKUP($C63,'2015 ProForma'!$A:$G, 4, FALSE)*G63</f>
        <v>191497.6172320667</v>
      </c>
      <c r="P63" s="338">
        <f>VLOOKUP($C63,'2015 ProForma'!$A:$G, 5, FALSE)*H63</f>
        <v>486137.20121409197</v>
      </c>
      <c r="Q63" s="338">
        <f>VLOOKUP($C63,'2015 ProForma'!$A:$G, 6, FALSE)*I63</f>
        <v>0</v>
      </c>
      <c r="R63" s="339">
        <f t="shared" si="1"/>
        <v>898482.49779795716</v>
      </c>
      <c r="S63" s="340">
        <f>VLOOKUP($C63,'2015 ProForma'!$A:$G, 7, FALSE)*K63</f>
        <v>343436.41243467742</v>
      </c>
    </row>
    <row r="64" spans="1:19" x14ac:dyDescent="0.3">
      <c r="A64" s="371">
        <v>62</v>
      </c>
      <c r="B64" s="372" t="s">
        <v>173</v>
      </c>
      <c r="C64" s="372" t="s">
        <v>375</v>
      </c>
      <c r="D64" s="373" t="s">
        <v>174</v>
      </c>
      <c r="E64" s="362"/>
      <c r="F64" s="16"/>
      <c r="G64" s="16"/>
      <c r="H64" s="16"/>
      <c r="I64" s="16"/>
      <c r="J64" s="337">
        <f t="shared" si="0"/>
        <v>0</v>
      </c>
      <c r="K64" s="16">
        <v>1</v>
      </c>
      <c r="L64" s="93"/>
      <c r="M64" s="346">
        <f>VLOOKUP($C64,'2015 ProForma'!$A:$G, 2, FALSE)*E64</f>
        <v>0</v>
      </c>
      <c r="N64" s="338">
        <f>VLOOKUP($C64,'2015 ProForma'!$A:$G, 3, FALSE)*F64</f>
        <v>0</v>
      </c>
      <c r="O64" s="338">
        <f>VLOOKUP($C64,'2015 ProForma'!$A:$G, 4, FALSE)*G64</f>
        <v>0</v>
      </c>
      <c r="P64" s="338">
        <f>VLOOKUP($C64,'2015 ProForma'!$A:$G, 5, FALSE)*H64</f>
        <v>0</v>
      </c>
      <c r="Q64" s="338">
        <f>VLOOKUP($C64,'2015 ProForma'!$A:$G, 6, FALSE)*I64</f>
        <v>0</v>
      </c>
      <c r="R64" s="339">
        <f t="shared" si="1"/>
        <v>0</v>
      </c>
      <c r="S64" s="340">
        <f>VLOOKUP($C64,'2015 ProForma'!$A:$G, 7, FALSE)*K64</f>
        <v>21720.915913317174</v>
      </c>
    </row>
    <row r="65" spans="1:19" x14ac:dyDescent="0.3">
      <c r="A65" s="371">
        <v>63</v>
      </c>
      <c r="B65" s="372" t="s">
        <v>175</v>
      </c>
      <c r="C65" s="372" t="s">
        <v>376</v>
      </c>
      <c r="D65" s="373" t="s">
        <v>176</v>
      </c>
      <c r="E65" s="362"/>
      <c r="F65" s="16">
        <v>1</v>
      </c>
      <c r="G65" s="16">
        <v>1</v>
      </c>
      <c r="H65" s="16">
        <v>1</v>
      </c>
      <c r="I65" s="16"/>
      <c r="J65" s="337">
        <f t="shared" si="0"/>
        <v>3</v>
      </c>
      <c r="K65" s="16">
        <v>4</v>
      </c>
      <c r="L65" s="93"/>
      <c r="M65" s="346">
        <f>VLOOKUP($C65,'2015 ProForma'!$A:$G, 2, FALSE)*E65</f>
        <v>0</v>
      </c>
      <c r="N65" s="338">
        <f>VLOOKUP($C65,'2015 ProForma'!$A:$G, 3, FALSE)*F65</f>
        <v>248537.67049237737</v>
      </c>
      <c r="O65" s="338">
        <f>VLOOKUP($C65,'2015 ProForma'!$A:$G, 4, FALSE)*G65</f>
        <v>219759.50576558331</v>
      </c>
      <c r="P65" s="338">
        <f>VLOOKUP($C65,'2015 ProForma'!$A:$G, 5, FALSE)*H65</f>
        <v>188918.22901195212</v>
      </c>
      <c r="Q65" s="338">
        <f>VLOOKUP($C65,'2015 ProForma'!$A:$G, 6, FALSE)*I65</f>
        <v>0</v>
      </c>
      <c r="R65" s="339">
        <f t="shared" si="1"/>
        <v>657215.40526991279</v>
      </c>
      <c r="S65" s="340">
        <f>VLOOKUP($C65,'2015 ProForma'!$A:$G, 7, FALSE)*K65</f>
        <v>112374.73423292725</v>
      </c>
    </row>
    <row r="66" spans="1:19" x14ac:dyDescent="0.3">
      <c r="A66" s="371">
        <v>64</v>
      </c>
      <c r="B66" s="372" t="s">
        <v>595</v>
      </c>
      <c r="C66" s="372" t="s">
        <v>334</v>
      </c>
      <c r="D66" s="373" t="s">
        <v>335</v>
      </c>
      <c r="E66" s="362"/>
      <c r="F66" s="16">
        <v>1</v>
      </c>
      <c r="G66" s="16">
        <v>1</v>
      </c>
      <c r="H66" s="16"/>
      <c r="I66" s="16"/>
      <c r="J66" s="337">
        <f t="shared" si="0"/>
        <v>2</v>
      </c>
      <c r="K66" s="16">
        <v>2</v>
      </c>
      <c r="L66" s="93"/>
      <c r="M66" s="346">
        <f>VLOOKUP($C66,'2015 ProForma'!$A:$G, 2, FALSE)*E66</f>
        <v>0</v>
      </c>
      <c r="N66" s="338">
        <f>VLOOKUP($C66,'2015 ProForma'!$A:$G, 3, FALSE)*F66</f>
        <v>265934.34466289938</v>
      </c>
      <c r="O66" s="338">
        <f>VLOOKUP($C66,'2015 ProForma'!$A:$G, 4, FALSE)*G66</f>
        <v>239087.68645412498</v>
      </c>
      <c r="P66" s="338">
        <f>VLOOKUP($C66,'2015 ProForma'!$A:$G, 5, FALSE)*H66</f>
        <v>0</v>
      </c>
      <c r="Q66" s="338">
        <f>VLOOKUP($C66,'2015 ProForma'!$A:$G, 6, FALSE)*I66</f>
        <v>0</v>
      </c>
      <c r="R66" s="339">
        <f t="shared" si="1"/>
        <v>505022.03111702437</v>
      </c>
      <c r="S66" s="340">
        <f>VLOOKUP($C66,'2015 ProForma'!$A:$G, 7, FALSE)*K66</f>
        <v>96140.229638671561</v>
      </c>
    </row>
    <row r="67" spans="1:19" x14ac:dyDescent="0.3">
      <c r="A67" s="371">
        <v>65</v>
      </c>
      <c r="B67" s="372" t="s">
        <v>180</v>
      </c>
      <c r="C67" s="372" t="s">
        <v>377</v>
      </c>
      <c r="D67" s="373" t="s">
        <v>181</v>
      </c>
      <c r="E67" s="362"/>
      <c r="F67" s="16"/>
      <c r="G67" s="16">
        <v>1</v>
      </c>
      <c r="H67" s="16">
        <v>1</v>
      </c>
      <c r="I67" s="16"/>
      <c r="J67" s="337">
        <f t="shared" si="0"/>
        <v>2</v>
      </c>
      <c r="K67" s="16">
        <v>2</v>
      </c>
      <c r="L67" s="93"/>
      <c r="M67" s="346">
        <f>VLOOKUP($C67,'2015 ProForma'!$A:$G, 2, FALSE)*E67</f>
        <v>0</v>
      </c>
      <c r="N67" s="338">
        <f>VLOOKUP($C67,'2015 ProForma'!$A:$G, 3, FALSE)*F67</f>
        <v>0</v>
      </c>
      <c r="O67" s="338">
        <f>VLOOKUP($C67,'2015 ProForma'!$A:$G, 4, FALSE)*G67</f>
        <v>185451.44213912496</v>
      </c>
      <c r="P67" s="338">
        <f>VLOOKUP($C67,'2015 ProForma'!$A:$G, 5, FALSE)*H67</f>
        <v>157594.38960776149</v>
      </c>
      <c r="Q67" s="338">
        <f>VLOOKUP($C67,'2015 ProForma'!$A:$G, 6, FALSE)*I67</f>
        <v>0</v>
      </c>
      <c r="R67" s="339">
        <f t="shared" si="1"/>
        <v>343045.83174688648</v>
      </c>
      <c r="S67" s="340">
        <f>VLOOKUP($C67,'2015 ProForma'!$A:$G, 7, FALSE)*K67</f>
        <v>28650.258889823199</v>
      </c>
    </row>
    <row r="68" spans="1:19" x14ac:dyDescent="0.3">
      <c r="A68" s="371">
        <v>66</v>
      </c>
      <c r="B68" s="372" t="s">
        <v>182</v>
      </c>
      <c r="C68" s="372" t="s">
        <v>378</v>
      </c>
      <c r="D68" s="373" t="s">
        <v>183</v>
      </c>
      <c r="E68" s="362"/>
      <c r="F68" s="16"/>
      <c r="G68" s="16">
        <v>1</v>
      </c>
      <c r="H68" s="16"/>
      <c r="I68" s="16"/>
      <c r="J68" s="337">
        <f t="shared" ref="J68:J122" si="2">SUM(E68:I68)</f>
        <v>1</v>
      </c>
      <c r="K68" s="16">
        <v>2</v>
      </c>
      <c r="L68" s="93"/>
      <c r="M68" s="346">
        <f>VLOOKUP($C68,'2015 ProForma'!$A:$G, 2, FALSE)*E68</f>
        <v>0</v>
      </c>
      <c r="N68" s="338">
        <f>VLOOKUP($C68,'2015 ProForma'!$A:$G, 3, FALSE)*F68</f>
        <v>0</v>
      </c>
      <c r="O68" s="338">
        <f>VLOOKUP($C68,'2015 ProForma'!$A:$G, 4, FALSE)*G68</f>
        <v>182157.41595471665</v>
      </c>
      <c r="P68" s="338">
        <f>VLOOKUP($C68,'2015 ProForma'!$A:$G, 5, FALSE)*H68</f>
        <v>0</v>
      </c>
      <c r="Q68" s="338">
        <f>VLOOKUP($C68,'2015 ProForma'!$A:$G, 6, FALSE)*I68</f>
        <v>0</v>
      </c>
      <c r="R68" s="339">
        <f t="shared" ref="R68:R122" si="3">SUM(M68:Q68)</f>
        <v>182157.41595471665</v>
      </c>
      <c r="S68" s="340">
        <f>VLOOKUP($C68,'2015 ProForma'!$A:$G, 7, FALSE)*K68</f>
        <v>34103.302708184725</v>
      </c>
    </row>
    <row r="69" spans="1:19" x14ac:dyDescent="0.3">
      <c r="A69" s="371">
        <v>67</v>
      </c>
      <c r="B69" s="372" t="s">
        <v>184</v>
      </c>
      <c r="C69" s="372" t="s">
        <v>394</v>
      </c>
      <c r="D69" s="373" t="s">
        <v>185</v>
      </c>
      <c r="E69" s="362"/>
      <c r="F69" s="16"/>
      <c r="G69" s="16">
        <v>1</v>
      </c>
      <c r="H69" s="16"/>
      <c r="I69" s="16"/>
      <c r="J69" s="337">
        <f t="shared" si="2"/>
        <v>1</v>
      </c>
      <c r="K69" s="16">
        <v>2</v>
      </c>
      <c r="L69" s="93"/>
      <c r="M69" s="346">
        <f>VLOOKUP($C69,'2015 ProForma'!$A:$G, 2, FALSE)*E69</f>
        <v>0</v>
      </c>
      <c r="N69" s="338">
        <f>VLOOKUP($C69,'2015 ProForma'!$A:$G, 3, FALSE)*F69</f>
        <v>0</v>
      </c>
      <c r="O69" s="338">
        <f>VLOOKUP($C69,'2015 ProForma'!$A:$G, 4, FALSE)*G69</f>
        <v>179285.00646133337</v>
      </c>
      <c r="P69" s="338">
        <f>VLOOKUP($C69,'2015 ProForma'!$A:$G, 5, FALSE)*H69</f>
        <v>0</v>
      </c>
      <c r="Q69" s="338">
        <f>VLOOKUP($C69,'2015 ProForma'!$A:$G, 6, FALSE)*I69</f>
        <v>0</v>
      </c>
      <c r="R69" s="339">
        <f t="shared" si="3"/>
        <v>179285.00646133337</v>
      </c>
      <c r="S69" s="340">
        <f>VLOOKUP($C69,'2015 ProForma'!$A:$G, 7, FALSE)*K69</f>
        <v>61081.970221047988</v>
      </c>
    </row>
    <row r="70" spans="1:19" x14ac:dyDescent="0.3">
      <c r="A70" s="371">
        <v>68</v>
      </c>
      <c r="B70" s="372" t="s">
        <v>187</v>
      </c>
      <c r="C70" s="372" t="s">
        <v>186</v>
      </c>
      <c r="D70" s="373" t="s">
        <v>188</v>
      </c>
      <c r="E70" s="362"/>
      <c r="F70" s="16">
        <v>1</v>
      </c>
      <c r="G70" s="16">
        <v>2</v>
      </c>
      <c r="H70" s="16">
        <v>1</v>
      </c>
      <c r="I70" s="16"/>
      <c r="J70" s="337">
        <f t="shared" si="2"/>
        <v>4</v>
      </c>
      <c r="K70" s="16">
        <v>2</v>
      </c>
      <c r="L70" s="93"/>
      <c r="M70" s="346">
        <f>VLOOKUP($C70,'2015 ProForma'!$A:$G, 2, FALSE)*E70</f>
        <v>0</v>
      </c>
      <c r="N70" s="338">
        <f>VLOOKUP($C70,'2015 ProForma'!$A:$G, 3, FALSE)*F70</f>
        <v>259126.30310086379</v>
      </c>
      <c r="O70" s="338">
        <f>VLOOKUP($C70,'2015 ProForma'!$A:$G, 4, FALSE)*G70</f>
        <v>462519.61890114995</v>
      </c>
      <c r="P70" s="338">
        <f>VLOOKUP($C70,'2015 ProForma'!$A:$G, 5, FALSE)*H70</f>
        <v>202627.36575197411</v>
      </c>
      <c r="Q70" s="338">
        <f>VLOOKUP($C70,'2015 ProForma'!$A:$G, 6, FALSE)*I70</f>
        <v>0</v>
      </c>
      <c r="R70" s="339">
        <f t="shared" si="3"/>
        <v>924273.28775398782</v>
      </c>
      <c r="S70" s="340">
        <f>VLOOKUP($C70,'2015 ProForma'!$A:$G, 7, FALSE)*K70</f>
        <v>51845.717746613278</v>
      </c>
    </row>
    <row r="71" spans="1:19" x14ac:dyDescent="0.3">
      <c r="A71" s="371">
        <v>69</v>
      </c>
      <c r="B71" s="372" t="s">
        <v>189</v>
      </c>
      <c r="C71" s="372" t="s">
        <v>379</v>
      </c>
      <c r="D71" s="373" t="s">
        <v>190</v>
      </c>
      <c r="E71" s="362"/>
      <c r="F71" s="16"/>
      <c r="G71" s="16">
        <v>1</v>
      </c>
      <c r="H71" s="16"/>
      <c r="I71" s="16"/>
      <c r="J71" s="337">
        <f t="shared" si="2"/>
        <v>1</v>
      </c>
      <c r="K71" s="16">
        <v>2</v>
      </c>
      <c r="L71" s="93"/>
      <c r="M71" s="346">
        <f>VLOOKUP($C71,'2015 ProForma'!$A:$G, 2, FALSE)*E71</f>
        <v>0</v>
      </c>
      <c r="N71" s="338">
        <f>VLOOKUP($C71,'2015 ProForma'!$A:$G, 3, FALSE)*F71</f>
        <v>0</v>
      </c>
      <c r="O71" s="338">
        <f>VLOOKUP($C71,'2015 ProForma'!$A:$G, 4, FALSE)*G71</f>
        <v>191574.21704218333</v>
      </c>
      <c r="P71" s="338">
        <f>VLOOKUP($C71,'2015 ProForma'!$A:$G, 5, FALSE)*H71</f>
        <v>0</v>
      </c>
      <c r="Q71" s="338">
        <f>VLOOKUP($C71,'2015 ProForma'!$A:$G, 6, FALSE)*I71</f>
        <v>0</v>
      </c>
      <c r="R71" s="339">
        <f t="shared" si="3"/>
        <v>191574.21704218333</v>
      </c>
      <c r="S71" s="340">
        <f>VLOOKUP($C71,'2015 ProForma'!$A:$G, 7, FALSE)*K71</f>
        <v>43660.671148242262</v>
      </c>
    </row>
    <row r="72" spans="1:19" x14ac:dyDescent="0.3">
      <c r="A72" s="371">
        <v>70</v>
      </c>
      <c r="B72" s="372" t="s">
        <v>192</v>
      </c>
      <c r="C72" s="372" t="s">
        <v>191</v>
      </c>
      <c r="D72" s="373" t="s">
        <v>193</v>
      </c>
      <c r="E72" s="362"/>
      <c r="F72" s="16"/>
      <c r="G72" s="16">
        <v>1</v>
      </c>
      <c r="H72" s="16"/>
      <c r="I72" s="16"/>
      <c r="J72" s="337">
        <f t="shared" si="2"/>
        <v>1</v>
      </c>
      <c r="K72" s="16">
        <v>2</v>
      </c>
      <c r="L72" s="93"/>
      <c r="M72" s="346">
        <f>VLOOKUP($C72,'2015 ProForma'!$A:$G, 2, FALSE)*E72</f>
        <v>0</v>
      </c>
      <c r="N72" s="338">
        <f>VLOOKUP($C72,'2015 ProForma'!$A:$G, 3, FALSE)*F72</f>
        <v>0</v>
      </c>
      <c r="O72" s="338">
        <f>VLOOKUP($C72,'2015 ProForma'!$A:$G, 4, FALSE)*G72</f>
        <v>188042.73392192498</v>
      </c>
      <c r="P72" s="338">
        <f>VLOOKUP($C72,'2015 ProForma'!$A:$G, 5, FALSE)*H72</f>
        <v>0</v>
      </c>
      <c r="Q72" s="338">
        <f>VLOOKUP($C72,'2015 ProForma'!$A:$G, 6, FALSE)*I72</f>
        <v>0</v>
      </c>
      <c r="R72" s="339">
        <f t="shared" si="3"/>
        <v>188042.73392192498</v>
      </c>
      <c r="S72" s="340">
        <f>VLOOKUP($C72,'2015 ProForma'!$A:$G, 7, FALSE)*K72</f>
        <v>105238.0209549733</v>
      </c>
    </row>
    <row r="73" spans="1:19" x14ac:dyDescent="0.3">
      <c r="A73" s="371">
        <v>71</v>
      </c>
      <c r="B73" s="372" t="s">
        <v>521</v>
      </c>
      <c r="C73" s="372" t="s">
        <v>499</v>
      </c>
      <c r="D73" s="373" t="s">
        <v>345</v>
      </c>
      <c r="E73" s="362"/>
      <c r="F73" s="16"/>
      <c r="G73" s="16"/>
      <c r="H73" s="16"/>
      <c r="I73" s="16"/>
      <c r="J73" s="337">
        <f t="shared" si="2"/>
        <v>0</v>
      </c>
      <c r="K73" s="16">
        <v>1</v>
      </c>
      <c r="L73" s="93"/>
      <c r="M73" s="346">
        <f>VLOOKUP($C73,'2015 ProForma'!$A:$G, 2, FALSE)*E73</f>
        <v>0</v>
      </c>
      <c r="N73" s="338">
        <f>VLOOKUP($C73,'2015 ProForma'!$A:$G, 3, FALSE)*F73</f>
        <v>0</v>
      </c>
      <c r="O73" s="338">
        <f>VLOOKUP($C73,'2015 ProForma'!$A:$G, 4, FALSE)*G73</f>
        <v>0</v>
      </c>
      <c r="P73" s="338">
        <f>VLOOKUP($C73,'2015 ProForma'!$A:$G, 5, FALSE)*H73</f>
        <v>0</v>
      </c>
      <c r="Q73" s="338">
        <f>VLOOKUP($C73,'2015 ProForma'!$A:$G, 6, FALSE)*I73</f>
        <v>0</v>
      </c>
      <c r="R73" s="339">
        <f t="shared" si="3"/>
        <v>0</v>
      </c>
      <c r="S73" s="340">
        <f>VLOOKUP($C73,'2015 ProForma'!$A:$G, 7, FALSE)*K73</f>
        <v>18615.313023362691</v>
      </c>
    </row>
    <row r="74" spans="1:19" x14ac:dyDescent="0.3">
      <c r="A74" s="371">
        <v>72</v>
      </c>
      <c r="B74" s="372" t="s">
        <v>194</v>
      </c>
      <c r="C74" s="372" t="s">
        <v>395</v>
      </c>
      <c r="D74" s="373" t="s">
        <v>195</v>
      </c>
      <c r="E74" s="362"/>
      <c r="F74" s="16"/>
      <c r="G74" s="16"/>
      <c r="H74" s="16"/>
      <c r="I74" s="16"/>
      <c r="J74" s="337">
        <f t="shared" si="2"/>
        <v>0</v>
      </c>
      <c r="K74" s="16">
        <v>2</v>
      </c>
      <c r="L74" s="93"/>
      <c r="M74" s="346">
        <f>VLOOKUP($C74,'2015 ProForma'!$A:$G, 2, FALSE)*E74</f>
        <v>0</v>
      </c>
      <c r="N74" s="338">
        <f>VLOOKUP($C74,'2015 ProForma'!$A:$G, 3, FALSE)*F74</f>
        <v>0</v>
      </c>
      <c r="O74" s="338">
        <f>VLOOKUP($C74,'2015 ProForma'!$A:$G, 4, FALSE)*G74</f>
        <v>0</v>
      </c>
      <c r="P74" s="338">
        <f>VLOOKUP($C74,'2015 ProForma'!$A:$G, 5, FALSE)*H74</f>
        <v>0</v>
      </c>
      <c r="Q74" s="338">
        <f>VLOOKUP($C74,'2015 ProForma'!$A:$G, 6, FALSE)*I74</f>
        <v>0</v>
      </c>
      <c r="R74" s="339">
        <f t="shared" si="3"/>
        <v>0</v>
      </c>
      <c r="S74" s="340">
        <f>VLOOKUP($C74,'2015 ProForma'!$A:$G, 7, FALSE)*K74</f>
        <v>48465.603138945022</v>
      </c>
    </row>
    <row r="75" spans="1:19" x14ac:dyDescent="0.3">
      <c r="A75" s="371">
        <v>73</v>
      </c>
      <c r="B75" s="372" t="s">
        <v>196</v>
      </c>
      <c r="C75" s="372" t="s">
        <v>405</v>
      </c>
      <c r="D75" s="373" t="s">
        <v>197</v>
      </c>
      <c r="E75" s="362"/>
      <c r="F75" s="16"/>
      <c r="G75" s="16">
        <v>1</v>
      </c>
      <c r="H75" s="16"/>
      <c r="I75" s="16"/>
      <c r="J75" s="337">
        <f t="shared" si="2"/>
        <v>1</v>
      </c>
      <c r="K75" s="16">
        <v>2</v>
      </c>
      <c r="L75" s="93"/>
      <c r="M75" s="346">
        <f>VLOOKUP($C75,'2015 ProForma'!$A:$G, 2, FALSE)*E75</f>
        <v>0</v>
      </c>
      <c r="N75" s="338">
        <f>VLOOKUP($C75,'2015 ProForma'!$A:$G, 3, FALSE)*F75</f>
        <v>0</v>
      </c>
      <c r="O75" s="338">
        <f>VLOOKUP($C75,'2015 ProForma'!$A:$G, 4, FALSE)*G75</f>
        <v>173982.16231088334</v>
      </c>
      <c r="P75" s="338">
        <f>VLOOKUP($C75,'2015 ProForma'!$A:$G, 5, FALSE)*H75</f>
        <v>0</v>
      </c>
      <c r="Q75" s="338">
        <f>VLOOKUP($C75,'2015 ProForma'!$A:$G, 6, FALSE)*I75</f>
        <v>0</v>
      </c>
      <c r="R75" s="339">
        <f t="shared" si="3"/>
        <v>173982.16231088334</v>
      </c>
      <c r="S75" s="340">
        <f>VLOOKUP($C75,'2015 ProForma'!$A:$G, 7, FALSE)*K75</f>
        <v>84353.037757199592</v>
      </c>
    </row>
    <row r="76" spans="1:19" x14ac:dyDescent="0.3">
      <c r="A76" s="371">
        <v>74</v>
      </c>
      <c r="B76" s="372" t="s">
        <v>199</v>
      </c>
      <c r="C76" s="372" t="s">
        <v>198</v>
      </c>
      <c r="D76" s="373" t="s">
        <v>200</v>
      </c>
      <c r="E76" s="362"/>
      <c r="F76" s="16"/>
      <c r="G76" s="16">
        <v>1</v>
      </c>
      <c r="H76" s="16"/>
      <c r="I76" s="16"/>
      <c r="J76" s="337">
        <f t="shared" si="2"/>
        <v>1</v>
      </c>
      <c r="K76" s="16">
        <v>2</v>
      </c>
      <c r="L76" s="93"/>
      <c r="M76" s="346">
        <f>VLOOKUP($C76,'2015 ProForma'!$A:$G, 2, FALSE)*E76</f>
        <v>0</v>
      </c>
      <c r="N76" s="338">
        <f>VLOOKUP($C76,'2015 ProForma'!$A:$G, 3, FALSE)*F76</f>
        <v>0</v>
      </c>
      <c r="O76" s="338">
        <f>VLOOKUP($C76,'2015 ProForma'!$A:$G, 4, FALSE)*G76</f>
        <v>203415.05544347499</v>
      </c>
      <c r="P76" s="338">
        <f>VLOOKUP($C76,'2015 ProForma'!$A:$G, 5, FALSE)*H76</f>
        <v>0</v>
      </c>
      <c r="Q76" s="338">
        <f>VLOOKUP($C76,'2015 ProForma'!$A:$G, 6, FALSE)*I76</f>
        <v>0</v>
      </c>
      <c r="R76" s="339">
        <f t="shared" si="3"/>
        <v>203415.05544347499</v>
      </c>
      <c r="S76" s="340">
        <f>VLOOKUP($C76,'2015 ProForma'!$A:$G, 7, FALSE)*K76</f>
        <v>87398.188382394117</v>
      </c>
    </row>
    <row r="77" spans="1:19" x14ac:dyDescent="0.3">
      <c r="A77" s="371">
        <v>75</v>
      </c>
      <c r="B77" s="372" t="s">
        <v>201</v>
      </c>
      <c r="C77" s="372" t="s">
        <v>396</v>
      </c>
      <c r="D77" s="373" t="s">
        <v>202</v>
      </c>
      <c r="E77" s="362"/>
      <c r="F77" s="16"/>
      <c r="G77" s="16">
        <v>1</v>
      </c>
      <c r="H77" s="16">
        <v>1</v>
      </c>
      <c r="I77" s="16"/>
      <c r="J77" s="337">
        <f t="shared" si="2"/>
        <v>2</v>
      </c>
      <c r="K77" s="16">
        <v>2</v>
      </c>
      <c r="L77" s="93"/>
      <c r="M77" s="346">
        <f>VLOOKUP($C77,'2015 ProForma'!$A:$G, 2, FALSE)*E77</f>
        <v>0</v>
      </c>
      <c r="N77" s="338">
        <f>VLOOKUP($C77,'2015 ProForma'!$A:$G, 3, FALSE)*F77</f>
        <v>0</v>
      </c>
      <c r="O77" s="338">
        <f>VLOOKUP($C77,'2015 ProForma'!$A:$G, 4, FALSE)*G77</f>
        <v>197617.12767456667</v>
      </c>
      <c r="P77" s="338">
        <f>VLOOKUP($C77,'2015 ProForma'!$A:$G, 5, FALSE)*H77</f>
        <v>167524.43793601915</v>
      </c>
      <c r="Q77" s="338">
        <f>VLOOKUP($C77,'2015 ProForma'!$A:$G, 6, FALSE)*I77</f>
        <v>0</v>
      </c>
      <c r="R77" s="339">
        <f t="shared" si="3"/>
        <v>365141.56561058585</v>
      </c>
      <c r="S77" s="340">
        <f>VLOOKUP($C77,'2015 ProForma'!$A:$G, 7, FALSE)*K77</f>
        <v>40780.09958470532</v>
      </c>
    </row>
    <row r="78" spans="1:19" x14ac:dyDescent="0.3">
      <c r="A78" s="371">
        <v>76</v>
      </c>
      <c r="B78" s="372" t="s">
        <v>204</v>
      </c>
      <c r="C78" s="372" t="s">
        <v>203</v>
      </c>
      <c r="D78" s="373" t="s">
        <v>205</v>
      </c>
      <c r="E78" s="362"/>
      <c r="F78" s="16"/>
      <c r="G78" s="16"/>
      <c r="H78" s="16"/>
      <c r="I78" s="16"/>
      <c r="J78" s="337">
        <f t="shared" si="2"/>
        <v>0</v>
      </c>
      <c r="K78" s="16">
        <v>1</v>
      </c>
      <c r="L78" s="93"/>
      <c r="M78" s="346">
        <f>VLOOKUP($C78,'2015 ProForma'!$A:$G, 2, FALSE)*E78</f>
        <v>0</v>
      </c>
      <c r="N78" s="338">
        <f>VLOOKUP($C78,'2015 ProForma'!$A:$G, 3, FALSE)*F78</f>
        <v>0</v>
      </c>
      <c r="O78" s="338">
        <f>VLOOKUP($C78,'2015 ProForma'!$A:$G, 4, FALSE)*G78</f>
        <v>0</v>
      </c>
      <c r="P78" s="338">
        <f>VLOOKUP($C78,'2015 ProForma'!$A:$G, 5, FALSE)*H78</f>
        <v>0</v>
      </c>
      <c r="Q78" s="338">
        <f>VLOOKUP($C78,'2015 ProForma'!$A:$G, 6, FALSE)*I78</f>
        <v>0</v>
      </c>
      <c r="R78" s="339">
        <f t="shared" si="3"/>
        <v>0</v>
      </c>
      <c r="S78" s="340">
        <f>VLOOKUP($C78,'2015 ProForma'!$A:$G, 7, FALSE)*K78</f>
        <v>35671.817175383461</v>
      </c>
    </row>
    <row r="79" spans="1:19" x14ac:dyDescent="0.3">
      <c r="A79" s="371">
        <v>77</v>
      </c>
      <c r="B79" s="372" t="s">
        <v>206</v>
      </c>
      <c r="C79" s="372" t="s">
        <v>397</v>
      </c>
      <c r="D79" s="373" t="s">
        <v>207</v>
      </c>
      <c r="E79" s="362"/>
      <c r="F79" s="16"/>
      <c r="G79" s="16">
        <v>1</v>
      </c>
      <c r="H79" s="16">
        <v>1</v>
      </c>
      <c r="I79" s="16"/>
      <c r="J79" s="337">
        <f t="shared" si="2"/>
        <v>2</v>
      </c>
      <c r="K79" s="16">
        <v>4</v>
      </c>
      <c r="L79" s="93"/>
      <c r="M79" s="346">
        <f>VLOOKUP($C79,'2015 ProForma'!$A:$G, 2, FALSE)*E79</f>
        <v>0</v>
      </c>
      <c r="N79" s="338">
        <f>VLOOKUP($C79,'2015 ProForma'!$A:$G, 3, FALSE)*F79</f>
        <v>0</v>
      </c>
      <c r="O79" s="338">
        <f>VLOOKUP($C79,'2015 ProForma'!$A:$G, 4, FALSE)*G79</f>
        <v>187246.18645412498</v>
      </c>
      <c r="P79" s="338">
        <f>VLOOKUP($C79,'2015 ProForma'!$A:$G, 5, FALSE)*H79</f>
        <v>159059.32125776148</v>
      </c>
      <c r="Q79" s="338">
        <f>VLOOKUP($C79,'2015 ProForma'!$A:$G, 6, FALSE)*I79</f>
        <v>0</v>
      </c>
      <c r="R79" s="339">
        <f t="shared" si="3"/>
        <v>346305.50771188643</v>
      </c>
      <c r="S79" s="340">
        <f>VLOOKUP($C79,'2015 ProForma'!$A:$G, 7, FALSE)*K79</f>
        <v>71376.387529057669</v>
      </c>
    </row>
    <row r="80" spans="1:19" x14ac:dyDescent="0.3">
      <c r="A80" s="371">
        <v>78</v>
      </c>
      <c r="B80" s="372" t="s">
        <v>209</v>
      </c>
      <c r="C80" s="372" t="s">
        <v>208</v>
      </c>
      <c r="D80" s="373" t="s">
        <v>210</v>
      </c>
      <c r="E80" s="362"/>
      <c r="F80" s="16"/>
      <c r="G80" s="16">
        <v>1</v>
      </c>
      <c r="H80" s="16"/>
      <c r="I80" s="16"/>
      <c r="J80" s="337">
        <f t="shared" si="2"/>
        <v>1</v>
      </c>
      <c r="K80" s="16">
        <v>2</v>
      </c>
      <c r="L80" s="93"/>
      <c r="M80" s="346">
        <f>VLOOKUP($C80,'2015 ProForma'!$A:$G, 2, FALSE)*E80</f>
        <v>0</v>
      </c>
      <c r="N80" s="338">
        <f>VLOOKUP($C80,'2015 ProForma'!$A:$G, 3, FALSE)*F80</f>
        <v>0</v>
      </c>
      <c r="O80" s="338">
        <f>VLOOKUP($C80,'2015 ProForma'!$A:$G, 4, FALSE)*G80</f>
        <v>177645.36658199999</v>
      </c>
      <c r="P80" s="338">
        <f>VLOOKUP($C80,'2015 ProForma'!$A:$G, 5, FALSE)*H80</f>
        <v>0</v>
      </c>
      <c r="Q80" s="338">
        <f>VLOOKUP($C80,'2015 ProForma'!$A:$G, 6, FALSE)*I80</f>
        <v>0</v>
      </c>
      <c r="R80" s="339">
        <f t="shared" si="3"/>
        <v>177645.36658199999</v>
      </c>
      <c r="S80" s="340">
        <f>VLOOKUP($C80,'2015 ProForma'!$A:$G, 7, FALSE)*K80</f>
        <v>52065.144989314591</v>
      </c>
    </row>
    <row r="81" spans="1:19" x14ac:dyDescent="0.3">
      <c r="A81" s="371">
        <v>79</v>
      </c>
      <c r="B81" s="372" t="s">
        <v>212</v>
      </c>
      <c r="C81" s="372" t="s">
        <v>211</v>
      </c>
      <c r="D81" s="373" t="s">
        <v>213</v>
      </c>
      <c r="E81" s="362"/>
      <c r="F81" s="16"/>
      <c r="G81" s="16">
        <v>1</v>
      </c>
      <c r="H81" s="16"/>
      <c r="I81" s="16">
        <v>1</v>
      </c>
      <c r="J81" s="337">
        <f t="shared" si="2"/>
        <v>2</v>
      </c>
      <c r="K81" s="16">
        <v>2</v>
      </c>
      <c r="L81" s="93"/>
      <c r="M81" s="346">
        <f>VLOOKUP($C81,'2015 ProForma'!$A:$G, 2, FALSE)*E81</f>
        <v>0</v>
      </c>
      <c r="N81" s="338">
        <f>VLOOKUP($C81,'2015 ProForma'!$A:$G, 3, FALSE)*F81</f>
        <v>0</v>
      </c>
      <c r="O81" s="338">
        <f>VLOOKUP($C81,'2015 ProForma'!$A:$G, 4, FALSE)*G81</f>
        <v>194758.99426735833</v>
      </c>
      <c r="P81" s="338">
        <f>VLOOKUP($C81,'2015 ProForma'!$A:$G, 5, FALSE)*H81</f>
        <v>0</v>
      </c>
      <c r="Q81" s="338">
        <f>VLOOKUP($C81,'2015 ProForma'!$A:$G, 6, FALSE)*I81</f>
        <v>147473.71580834102</v>
      </c>
      <c r="R81" s="339">
        <f t="shared" si="3"/>
        <v>342232.71007569938</v>
      </c>
      <c r="S81" s="340">
        <f>VLOOKUP($C81,'2015 ProForma'!$A:$G, 7, FALSE)*K81</f>
        <v>65451.926081069287</v>
      </c>
    </row>
    <row r="82" spans="1:19" x14ac:dyDescent="0.3">
      <c r="A82" s="371">
        <v>80</v>
      </c>
      <c r="B82" s="372" t="s">
        <v>596</v>
      </c>
      <c r="C82" s="372" t="s">
        <v>380</v>
      </c>
      <c r="D82" s="373" t="s">
        <v>215</v>
      </c>
      <c r="E82" s="362"/>
      <c r="F82" s="16">
        <v>1</v>
      </c>
      <c r="G82" s="16">
        <v>3</v>
      </c>
      <c r="H82" s="16">
        <v>3</v>
      </c>
      <c r="I82" s="16"/>
      <c r="J82" s="337">
        <f t="shared" si="2"/>
        <v>7</v>
      </c>
      <c r="K82" s="16">
        <v>6</v>
      </c>
      <c r="L82" s="93"/>
      <c r="M82" s="346">
        <f>VLOOKUP($C82,'2015 ProForma'!$A:$G, 2, FALSE)*E82</f>
        <v>0</v>
      </c>
      <c r="N82" s="338">
        <f>VLOOKUP($C82,'2015 ProForma'!$A:$G, 3, FALSE)*F82</f>
        <v>249619.40188590038</v>
      </c>
      <c r="O82" s="338">
        <f>VLOOKUP($C82,'2015 ProForma'!$A:$G, 4, FALSE)*G82</f>
        <v>652788.91862649994</v>
      </c>
      <c r="P82" s="338">
        <f>VLOOKUP($C82,'2015 ProForma'!$A:$G, 5, FALSE)*H82</f>
        <v>551976.34811697691</v>
      </c>
      <c r="Q82" s="338">
        <f>VLOOKUP($C82,'2015 ProForma'!$A:$G, 6, FALSE)*I82</f>
        <v>0</v>
      </c>
      <c r="R82" s="339">
        <f t="shared" si="3"/>
        <v>1454384.6686293771</v>
      </c>
      <c r="S82" s="340">
        <f>VLOOKUP($C82,'2015 ProForma'!$A:$G, 7, FALSE)*K82</f>
        <v>384144.83371643891</v>
      </c>
    </row>
    <row r="83" spans="1:19" x14ac:dyDescent="0.3">
      <c r="A83" s="371">
        <v>81</v>
      </c>
      <c r="B83" s="372" t="s">
        <v>217</v>
      </c>
      <c r="C83" s="372" t="s">
        <v>216</v>
      </c>
      <c r="D83" s="373" t="s">
        <v>218</v>
      </c>
      <c r="E83" s="362">
        <v>1</v>
      </c>
      <c r="F83" s="16"/>
      <c r="G83" s="16">
        <v>10</v>
      </c>
      <c r="H83" s="16">
        <v>6</v>
      </c>
      <c r="I83" s="16"/>
      <c r="J83" s="337">
        <f t="shared" si="2"/>
        <v>17</v>
      </c>
      <c r="K83" s="16">
        <v>23</v>
      </c>
      <c r="L83" s="93"/>
      <c r="M83" s="346">
        <f>VLOOKUP($C83,'2015 ProForma'!$A:$G, 2, FALSE)*E83</f>
        <v>263078.40193309862</v>
      </c>
      <c r="N83" s="338">
        <f>VLOOKUP($C83,'2015 ProForma'!$A:$G, 3, FALSE)*F83</f>
        <v>0</v>
      </c>
      <c r="O83" s="338">
        <f>VLOOKUP($C83,'2015 ProForma'!$A:$G, 4, FALSE)*G83</f>
        <v>2064224.9122658335</v>
      </c>
      <c r="P83" s="338">
        <f>VLOOKUP($C83,'2015 ProForma'!$A:$G, 5, FALSE)*H83</f>
        <v>1072232.661407575</v>
      </c>
      <c r="Q83" s="338">
        <f>VLOOKUP($C83,'2015 ProForma'!$A:$G, 6, FALSE)*I83</f>
        <v>0</v>
      </c>
      <c r="R83" s="339">
        <f t="shared" si="3"/>
        <v>3399535.9756065072</v>
      </c>
      <c r="S83" s="340">
        <f>VLOOKUP($C83,'2015 ProForma'!$A:$G, 7, FALSE)*K83</f>
        <v>576397.28804135777</v>
      </c>
    </row>
    <row r="84" spans="1:19" x14ac:dyDescent="0.3">
      <c r="A84" s="371">
        <v>82</v>
      </c>
      <c r="B84" s="372" t="s">
        <v>220</v>
      </c>
      <c r="C84" s="372" t="s">
        <v>219</v>
      </c>
      <c r="D84" s="373" t="s">
        <v>221</v>
      </c>
      <c r="E84" s="362"/>
      <c r="F84" s="16"/>
      <c r="G84" s="16">
        <v>2</v>
      </c>
      <c r="H84" s="16"/>
      <c r="I84" s="16"/>
      <c r="J84" s="337">
        <f t="shared" si="2"/>
        <v>2</v>
      </c>
      <c r="K84" s="16">
        <v>2</v>
      </c>
      <c r="L84" s="93"/>
      <c r="M84" s="346">
        <f>VLOOKUP($C84,'2015 ProForma'!$A:$G, 2, FALSE)*E84</f>
        <v>0</v>
      </c>
      <c r="N84" s="338">
        <f>VLOOKUP($C84,'2015 ProForma'!$A:$G, 3, FALSE)*F84</f>
        <v>0</v>
      </c>
      <c r="O84" s="338">
        <f>VLOOKUP($C84,'2015 ProForma'!$A:$G, 4, FALSE)*G84</f>
        <v>358087.93618171662</v>
      </c>
      <c r="P84" s="338">
        <f>VLOOKUP($C84,'2015 ProForma'!$A:$G, 5, FALSE)*H84</f>
        <v>0</v>
      </c>
      <c r="Q84" s="338">
        <f>VLOOKUP($C84,'2015 ProForma'!$A:$G, 6, FALSE)*I84</f>
        <v>0</v>
      </c>
      <c r="R84" s="339">
        <f t="shared" si="3"/>
        <v>358087.93618171662</v>
      </c>
      <c r="S84" s="340">
        <f>VLOOKUP($C84,'2015 ProForma'!$A:$G, 7, FALSE)*K84</f>
        <v>83049.730254711802</v>
      </c>
    </row>
    <row r="85" spans="1:19" x14ac:dyDescent="0.3">
      <c r="A85" s="371">
        <v>83</v>
      </c>
      <c r="B85" s="372" t="s">
        <v>597</v>
      </c>
      <c r="C85" s="372" t="s">
        <v>574</v>
      </c>
      <c r="D85" s="373" t="s">
        <v>149</v>
      </c>
      <c r="E85" s="362"/>
      <c r="F85" s="16">
        <v>1</v>
      </c>
      <c r="G85" s="16">
        <v>3</v>
      </c>
      <c r="H85" s="16">
        <v>1</v>
      </c>
      <c r="I85" s="16">
        <v>1</v>
      </c>
      <c r="J85" s="337">
        <f t="shared" si="2"/>
        <v>6</v>
      </c>
      <c r="K85" s="16">
        <v>6</v>
      </c>
      <c r="L85" s="93"/>
      <c r="M85" s="346">
        <f>VLOOKUP($C85,'2015 ProForma'!$A:$G, 2, FALSE)*E85</f>
        <v>0</v>
      </c>
      <c r="N85" s="338">
        <f>VLOOKUP($C85,'2015 ProForma'!$A:$G, 3, FALSE)*F85</f>
        <v>279356.80206969404</v>
      </c>
      <c r="O85" s="338">
        <f>VLOOKUP($C85,'2015 ProForma'!$A:$G, 4, FALSE)*G85</f>
        <v>747702.92641907488</v>
      </c>
      <c r="P85" s="338">
        <f>VLOOKUP($C85,'2015 ProForma'!$A:$G, 5, FALSE)*H85</f>
        <v>217866.0672088688</v>
      </c>
      <c r="Q85" s="338">
        <f>VLOOKUP($C85,'2015 ProForma'!$A:$G, 6, FALSE)*I85</f>
        <v>198971.21348466285</v>
      </c>
      <c r="R85" s="339">
        <f t="shared" si="3"/>
        <v>1443897.0091823007</v>
      </c>
      <c r="S85" s="340">
        <f>VLOOKUP($C85,'2015 ProForma'!$A:$G, 7, FALSE)*K85</f>
        <v>345392.86604385328</v>
      </c>
    </row>
    <row r="86" spans="1:19" x14ac:dyDescent="0.3">
      <c r="A86" s="371">
        <v>84</v>
      </c>
      <c r="B86" s="372" t="s">
        <v>223</v>
      </c>
      <c r="C86" s="372" t="s">
        <v>222</v>
      </c>
      <c r="D86" s="373" t="s">
        <v>224</v>
      </c>
      <c r="E86" s="362"/>
      <c r="F86" s="16"/>
      <c r="G86" s="16">
        <v>1</v>
      </c>
      <c r="H86" s="16">
        <v>1</v>
      </c>
      <c r="I86" s="16"/>
      <c r="J86" s="337">
        <f t="shared" si="2"/>
        <v>2</v>
      </c>
      <c r="K86" s="16">
        <v>3</v>
      </c>
      <c r="L86" s="93"/>
      <c r="M86" s="346">
        <f>VLOOKUP($C86,'2015 ProForma'!$A:$G, 2, FALSE)*E86</f>
        <v>0</v>
      </c>
      <c r="N86" s="338">
        <f>VLOOKUP($C86,'2015 ProForma'!$A:$G, 3, FALSE)*F86</f>
        <v>0</v>
      </c>
      <c r="O86" s="338">
        <f>VLOOKUP($C86,'2015 ProForma'!$A:$G, 4, FALSE)*G86</f>
        <v>246585.94505337498</v>
      </c>
      <c r="P86" s="338">
        <f>VLOOKUP($C86,'2015 ProForma'!$A:$G, 5, FALSE)*H86</f>
        <v>207654.45006089367</v>
      </c>
      <c r="Q86" s="338">
        <f>VLOOKUP($C86,'2015 ProForma'!$A:$G, 6, FALSE)*I86</f>
        <v>0</v>
      </c>
      <c r="R86" s="339">
        <f t="shared" si="3"/>
        <v>454240.39511426864</v>
      </c>
      <c r="S86" s="340">
        <f>VLOOKUP($C86,'2015 ProForma'!$A:$G, 7, FALSE)*K86</f>
        <v>83600.068623117477</v>
      </c>
    </row>
    <row r="87" spans="1:19" x14ac:dyDescent="0.3">
      <c r="A87" s="371">
        <v>85</v>
      </c>
      <c r="B87" s="372" t="s">
        <v>226</v>
      </c>
      <c r="C87" s="372" t="s">
        <v>225</v>
      </c>
      <c r="D87" s="373" t="s">
        <v>227</v>
      </c>
      <c r="E87" s="362"/>
      <c r="F87" s="16"/>
      <c r="G87" s="16">
        <v>1</v>
      </c>
      <c r="H87" s="16"/>
      <c r="I87" s="16"/>
      <c r="J87" s="337">
        <f t="shared" si="2"/>
        <v>1</v>
      </c>
      <c r="K87" s="16">
        <v>3</v>
      </c>
      <c r="L87" s="93"/>
      <c r="M87" s="346">
        <f>VLOOKUP($C87,'2015 ProForma'!$A:$G, 2, FALSE)*E87</f>
        <v>0</v>
      </c>
      <c r="N87" s="338">
        <f>VLOOKUP($C87,'2015 ProForma'!$A:$G, 3, FALSE)*F87</f>
        <v>0</v>
      </c>
      <c r="O87" s="338">
        <f>VLOOKUP($C87,'2015 ProForma'!$A:$G, 4, FALSE)*G87</f>
        <v>191866.63044002504</v>
      </c>
      <c r="P87" s="338">
        <f>VLOOKUP($C87,'2015 ProForma'!$A:$G, 5, FALSE)*H87</f>
        <v>0</v>
      </c>
      <c r="Q87" s="338">
        <f>VLOOKUP($C87,'2015 ProForma'!$A:$G, 6, FALSE)*I87</f>
        <v>0</v>
      </c>
      <c r="R87" s="339">
        <f t="shared" si="3"/>
        <v>191866.63044002504</v>
      </c>
      <c r="S87" s="340">
        <f>VLOOKUP($C87,'2015 ProForma'!$A:$G, 7, FALSE)*K87</f>
        <v>190013.45194845556</v>
      </c>
    </row>
    <row r="88" spans="1:19" x14ac:dyDescent="0.3">
      <c r="A88" s="371">
        <v>86</v>
      </c>
      <c r="B88" s="372" t="s">
        <v>228</v>
      </c>
      <c r="C88" s="372" t="s">
        <v>398</v>
      </c>
      <c r="D88" s="373" t="s">
        <v>229</v>
      </c>
      <c r="E88" s="362"/>
      <c r="F88" s="16"/>
      <c r="G88" s="16">
        <v>2</v>
      </c>
      <c r="H88" s="16">
        <v>3</v>
      </c>
      <c r="I88" s="16"/>
      <c r="J88" s="337">
        <f t="shared" si="2"/>
        <v>5</v>
      </c>
      <c r="K88" s="16">
        <v>4</v>
      </c>
      <c r="L88" s="93"/>
      <c r="M88" s="346">
        <f>VLOOKUP($C88,'2015 ProForma'!$A:$G, 2, FALSE)*E88</f>
        <v>0</v>
      </c>
      <c r="N88" s="338">
        <f>VLOOKUP($C88,'2015 ProForma'!$A:$G, 3, FALSE)*F88</f>
        <v>0</v>
      </c>
      <c r="O88" s="338">
        <f>VLOOKUP($C88,'2015 ProForma'!$A:$G, 4, FALSE)*G88</f>
        <v>374639.23762099992</v>
      </c>
      <c r="P88" s="338">
        <f>VLOOKUP($C88,'2015 ProForma'!$A:$G, 5, FALSE)*H88</f>
        <v>475906.52589686203</v>
      </c>
      <c r="Q88" s="338">
        <f>VLOOKUP($C88,'2015 ProForma'!$A:$G, 6, FALSE)*I88</f>
        <v>0</v>
      </c>
      <c r="R88" s="339">
        <f t="shared" si="3"/>
        <v>850545.76351786195</v>
      </c>
      <c r="S88" s="340">
        <f>VLOOKUP($C88,'2015 ProForma'!$A:$G, 7, FALSE)*K88</f>
        <v>90127.071601416843</v>
      </c>
    </row>
    <row r="89" spans="1:19" x14ac:dyDescent="0.3">
      <c r="A89" s="371">
        <v>87</v>
      </c>
      <c r="B89" s="372" t="s">
        <v>296</v>
      </c>
      <c r="C89" s="372" t="s">
        <v>295</v>
      </c>
      <c r="D89" s="373" t="s">
        <v>297</v>
      </c>
      <c r="E89" s="362"/>
      <c r="F89" s="16">
        <v>1</v>
      </c>
      <c r="G89" s="16">
        <v>5</v>
      </c>
      <c r="H89" s="16">
        <v>3</v>
      </c>
      <c r="I89" s="16">
        <v>1</v>
      </c>
      <c r="J89" s="337">
        <f t="shared" si="2"/>
        <v>10</v>
      </c>
      <c r="K89" s="16">
        <v>7</v>
      </c>
      <c r="L89" s="93"/>
      <c r="M89" s="346">
        <f>VLOOKUP($C89,'2015 ProForma'!$A:$G, 2, FALSE)*E89</f>
        <v>0</v>
      </c>
      <c r="N89" s="338">
        <f>VLOOKUP($C89,'2015 ProForma'!$A:$G, 3, FALSE)*F89</f>
        <v>270485.25682215916</v>
      </c>
      <c r="O89" s="338">
        <f>VLOOKUP($C89,'2015 ProForma'!$A:$G, 4, FALSE)*G89</f>
        <v>1216338.7468096251</v>
      </c>
      <c r="P89" s="338">
        <f>VLOOKUP($C89,'2015 ProForma'!$A:$G, 5, FALSE)*H89</f>
        <v>642991.73503969831</v>
      </c>
      <c r="Q89" s="338">
        <f>VLOOKUP($C89,'2015 ProForma'!$A:$G, 6, FALSE)*I89</f>
        <v>197279.75045842529</v>
      </c>
      <c r="R89" s="339">
        <f t="shared" si="3"/>
        <v>2327095.4891299079</v>
      </c>
      <c r="S89" s="340">
        <f>VLOOKUP($C89,'2015 ProForma'!$A:$G, 7, FALSE)*K89</f>
        <v>315182.69059455523</v>
      </c>
    </row>
    <row r="90" spans="1:19" x14ac:dyDescent="0.3">
      <c r="A90" s="371">
        <v>88</v>
      </c>
      <c r="B90" s="372" t="s">
        <v>231</v>
      </c>
      <c r="C90" s="372" t="s">
        <v>230</v>
      </c>
      <c r="D90" s="373" t="s">
        <v>232</v>
      </c>
      <c r="E90" s="362"/>
      <c r="F90" s="16"/>
      <c r="G90" s="16">
        <v>1</v>
      </c>
      <c r="H90" s="16"/>
      <c r="I90" s="16"/>
      <c r="J90" s="337">
        <f t="shared" si="2"/>
        <v>1</v>
      </c>
      <c r="K90" s="16">
        <v>2</v>
      </c>
      <c r="L90" s="93"/>
      <c r="M90" s="346">
        <f>VLOOKUP($C90,'2015 ProForma'!$A:$G, 2, FALSE)*E90</f>
        <v>0</v>
      </c>
      <c r="N90" s="338">
        <f>VLOOKUP($C90,'2015 ProForma'!$A:$G, 3, FALSE)*F90</f>
        <v>0</v>
      </c>
      <c r="O90" s="338">
        <f>VLOOKUP($C90,'2015 ProForma'!$A:$G, 4, FALSE)*G90</f>
        <v>214878.33916814165</v>
      </c>
      <c r="P90" s="338">
        <f>VLOOKUP($C90,'2015 ProForma'!$A:$G, 5, FALSE)*H90</f>
        <v>0</v>
      </c>
      <c r="Q90" s="338">
        <f>VLOOKUP($C90,'2015 ProForma'!$A:$G, 6, FALSE)*I90</f>
        <v>0</v>
      </c>
      <c r="R90" s="339">
        <f t="shared" si="3"/>
        <v>214878.33916814165</v>
      </c>
      <c r="S90" s="340">
        <f>VLOOKUP($C90,'2015 ProForma'!$A:$G, 7, FALSE)*K90</f>
        <v>64317.581899250064</v>
      </c>
    </row>
    <row r="91" spans="1:19" x14ac:dyDescent="0.3">
      <c r="A91" s="371">
        <v>89</v>
      </c>
      <c r="B91" s="372" t="s">
        <v>234</v>
      </c>
      <c r="C91" s="372" t="s">
        <v>233</v>
      </c>
      <c r="D91" s="373" t="s">
        <v>235</v>
      </c>
      <c r="E91" s="362"/>
      <c r="F91" s="16"/>
      <c r="G91" s="16">
        <v>1</v>
      </c>
      <c r="H91" s="16"/>
      <c r="I91" s="16"/>
      <c r="J91" s="337">
        <f t="shared" si="2"/>
        <v>1</v>
      </c>
      <c r="K91" s="16">
        <v>3</v>
      </c>
      <c r="L91" s="93"/>
      <c r="M91" s="346">
        <f>VLOOKUP($C91,'2015 ProForma'!$A:$G, 2, FALSE)*E91</f>
        <v>0</v>
      </c>
      <c r="N91" s="338">
        <f>VLOOKUP($C91,'2015 ProForma'!$A:$G, 3, FALSE)*F91</f>
        <v>0</v>
      </c>
      <c r="O91" s="338">
        <f>VLOOKUP($C91,'2015 ProForma'!$A:$G, 4, FALSE)*G91</f>
        <v>195494.70757558334</v>
      </c>
      <c r="P91" s="338">
        <f>VLOOKUP($C91,'2015 ProForma'!$A:$G, 5, FALSE)*H91</f>
        <v>0</v>
      </c>
      <c r="Q91" s="338">
        <f>VLOOKUP($C91,'2015 ProForma'!$A:$G, 6, FALSE)*I91</f>
        <v>0</v>
      </c>
      <c r="R91" s="339">
        <f t="shared" si="3"/>
        <v>195494.70757558334</v>
      </c>
      <c r="S91" s="340">
        <f>VLOOKUP($C91,'2015 ProForma'!$A:$G, 7, FALSE)*K91</f>
        <v>78787.647461555141</v>
      </c>
    </row>
    <row r="92" spans="1:19" x14ac:dyDescent="0.3">
      <c r="A92" s="371">
        <v>90</v>
      </c>
      <c r="B92" s="372" t="s">
        <v>236</v>
      </c>
      <c r="C92" s="372" t="s">
        <v>399</v>
      </c>
      <c r="D92" s="373" t="s">
        <v>237</v>
      </c>
      <c r="E92" s="362"/>
      <c r="F92" s="16"/>
      <c r="G92" s="16"/>
      <c r="H92" s="16"/>
      <c r="I92" s="16"/>
      <c r="J92" s="337">
        <f t="shared" si="2"/>
        <v>0</v>
      </c>
      <c r="K92" s="16">
        <v>2</v>
      </c>
      <c r="L92" s="93"/>
      <c r="M92" s="346">
        <f>VLOOKUP($C92,'2015 ProForma'!$A:$G, 2, FALSE)*E92</f>
        <v>0</v>
      </c>
      <c r="N92" s="338">
        <f>VLOOKUP($C92,'2015 ProForma'!$A:$G, 3, FALSE)*F92</f>
        <v>0</v>
      </c>
      <c r="O92" s="338">
        <f>VLOOKUP($C92,'2015 ProForma'!$A:$G, 4, FALSE)*G92</f>
        <v>0</v>
      </c>
      <c r="P92" s="338">
        <f>VLOOKUP($C92,'2015 ProForma'!$A:$G, 5, FALSE)*H92</f>
        <v>0</v>
      </c>
      <c r="Q92" s="338">
        <f>VLOOKUP($C92,'2015 ProForma'!$A:$G, 6, FALSE)*I92</f>
        <v>0</v>
      </c>
      <c r="R92" s="339">
        <f t="shared" si="3"/>
        <v>0</v>
      </c>
      <c r="S92" s="340">
        <f>VLOOKUP($C92,'2015 ProForma'!$A:$G, 7, FALSE)*K92</f>
        <v>44894.519054300574</v>
      </c>
    </row>
    <row r="93" spans="1:19" x14ac:dyDescent="0.3">
      <c r="A93" s="371">
        <v>91</v>
      </c>
      <c r="B93" s="372" t="s">
        <v>598</v>
      </c>
      <c r="C93" s="372" t="s">
        <v>238</v>
      </c>
      <c r="D93" s="373" t="s">
        <v>240</v>
      </c>
      <c r="E93" s="362"/>
      <c r="F93" s="16"/>
      <c r="G93" s="16">
        <v>1</v>
      </c>
      <c r="H93" s="16"/>
      <c r="I93" s="16"/>
      <c r="J93" s="337">
        <f t="shared" si="2"/>
        <v>1</v>
      </c>
      <c r="K93" s="16">
        <v>2</v>
      </c>
      <c r="L93" s="93"/>
      <c r="M93" s="346">
        <f>VLOOKUP($C93,'2015 ProForma'!$A:$G, 2, FALSE)*E93</f>
        <v>0</v>
      </c>
      <c r="N93" s="338">
        <f>VLOOKUP($C93,'2015 ProForma'!$A:$G, 3, FALSE)*F93</f>
        <v>0</v>
      </c>
      <c r="O93" s="338">
        <f>VLOOKUP($C93,'2015 ProForma'!$A:$G, 4, FALSE)*G93</f>
        <v>191946.97656351666</v>
      </c>
      <c r="P93" s="338">
        <f>VLOOKUP($C93,'2015 ProForma'!$A:$G, 5, FALSE)*H93</f>
        <v>0</v>
      </c>
      <c r="Q93" s="338">
        <f>VLOOKUP($C93,'2015 ProForma'!$A:$G, 6, FALSE)*I93</f>
        <v>0</v>
      </c>
      <c r="R93" s="339">
        <f t="shared" si="3"/>
        <v>191946.97656351666</v>
      </c>
      <c r="S93" s="340">
        <f>VLOOKUP($C93,'2015 ProForma'!$A:$G, 7, FALSE)*K93</f>
        <v>144196.59386941878</v>
      </c>
    </row>
    <row r="94" spans="1:19" x14ac:dyDescent="0.3">
      <c r="A94" s="371">
        <v>92</v>
      </c>
      <c r="B94" s="372" t="s">
        <v>242</v>
      </c>
      <c r="C94" s="372" t="s">
        <v>241</v>
      </c>
      <c r="D94" s="373" t="s">
        <v>243</v>
      </c>
      <c r="E94" s="362"/>
      <c r="F94" s="16"/>
      <c r="G94" s="16">
        <v>2</v>
      </c>
      <c r="H94" s="16">
        <v>2</v>
      </c>
      <c r="I94" s="16"/>
      <c r="J94" s="337">
        <f t="shared" si="2"/>
        <v>4</v>
      </c>
      <c r="K94" s="16">
        <v>3</v>
      </c>
      <c r="L94" s="93"/>
      <c r="M94" s="346">
        <f>VLOOKUP($C94,'2015 ProForma'!$A:$G, 2, FALSE)*E94</f>
        <v>0</v>
      </c>
      <c r="N94" s="338">
        <f>VLOOKUP($C94,'2015 ProForma'!$A:$G, 3, FALSE)*F94</f>
        <v>0</v>
      </c>
      <c r="O94" s="338">
        <f>VLOOKUP($C94,'2015 ProForma'!$A:$G, 4, FALSE)*G94</f>
        <v>381549.00424128328</v>
      </c>
      <c r="P94" s="338">
        <f>VLOOKUP($C94,'2015 ProForma'!$A:$G, 5, FALSE)*H94</f>
        <v>322911.00493945787</v>
      </c>
      <c r="Q94" s="338">
        <f>VLOOKUP($C94,'2015 ProForma'!$A:$G, 6, FALSE)*I94</f>
        <v>0</v>
      </c>
      <c r="R94" s="339">
        <f t="shared" si="3"/>
        <v>704460.00918074115</v>
      </c>
      <c r="S94" s="340">
        <f>VLOOKUP($C94,'2015 ProForma'!$A:$G, 7, FALSE)*K94</f>
        <v>98689.848302815371</v>
      </c>
    </row>
    <row r="95" spans="1:19" x14ac:dyDescent="0.3">
      <c r="A95" s="371">
        <v>93</v>
      </c>
      <c r="B95" s="372" t="s">
        <v>244</v>
      </c>
      <c r="C95" s="372" t="s">
        <v>336</v>
      </c>
      <c r="D95" s="373" t="s">
        <v>245</v>
      </c>
      <c r="E95" s="362"/>
      <c r="F95" s="16"/>
      <c r="G95" s="16">
        <v>1</v>
      </c>
      <c r="H95" s="16"/>
      <c r="I95" s="16"/>
      <c r="J95" s="337">
        <f t="shared" si="2"/>
        <v>1</v>
      </c>
      <c r="K95" s="16">
        <v>2</v>
      </c>
      <c r="L95" s="93"/>
      <c r="M95" s="346">
        <f>VLOOKUP($C95,'2015 ProForma'!$A:$G, 2, FALSE)*E95</f>
        <v>0</v>
      </c>
      <c r="N95" s="338">
        <f>VLOOKUP($C95,'2015 ProForma'!$A:$G, 3, FALSE)*F95</f>
        <v>0</v>
      </c>
      <c r="O95" s="338">
        <f>VLOOKUP($C95,'2015 ProForma'!$A:$G, 4, FALSE)*G95</f>
        <v>184587.8506117833</v>
      </c>
      <c r="P95" s="338">
        <f>VLOOKUP($C95,'2015 ProForma'!$A:$G, 5, FALSE)*H95</f>
        <v>0</v>
      </c>
      <c r="Q95" s="338">
        <f>VLOOKUP($C95,'2015 ProForma'!$A:$G, 6, FALSE)*I95</f>
        <v>0</v>
      </c>
      <c r="R95" s="339">
        <f t="shared" si="3"/>
        <v>184587.8506117833</v>
      </c>
      <c r="S95" s="340">
        <f>VLOOKUP($C95,'2015 ProForma'!$A:$G, 7, FALSE)*K95</f>
        <v>200769.44635120904</v>
      </c>
    </row>
    <row r="96" spans="1:19" x14ac:dyDescent="0.3">
      <c r="A96" s="371">
        <v>94</v>
      </c>
      <c r="B96" s="372" t="s">
        <v>246</v>
      </c>
      <c r="C96" s="372" t="s">
        <v>381</v>
      </c>
      <c r="D96" s="373" t="s">
        <v>247</v>
      </c>
      <c r="E96" s="362"/>
      <c r="F96" s="16">
        <v>1</v>
      </c>
      <c r="G96" s="16">
        <v>1</v>
      </c>
      <c r="H96" s="16">
        <v>1</v>
      </c>
      <c r="I96" s="16"/>
      <c r="J96" s="337">
        <f t="shared" si="2"/>
        <v>3</v>
      </c>
      <c r="K96" s="16">
        <v>3</v>
      </c>
      <c r="L96" s="93"/>
      <c r="M96" s="346">
        <f>VLOOKUP($C96,'2015 ProForma'!$A:$G, 2, FALSE)*E96</f>
        <v>0</v>
      </c>
      <c r="N96" s="338">
        <f>VLOOKUP($C96,'2015 ProForma'!$A:$G, 3, FALSE)*F96</f>
        <v>258346.08416259554</v>
      </c>
      <c r="O96" s="338">
        <f>VLOOKUP($C96,'2015 ProForma'!$A:$G, 4, FALSE)*G96</f>
        <v>228007.2621692417</v>
      </c>
      <c r="P96" s="338">
        <f>VLOOKUP($C96,'2015 ProForma'!$A:$G, 5, FALSE)*H96</f>
        <v>195650.32967733813</v>
      </c>
      <c r="Q96" s="338">
        <f>VLOOKUP($C96,'2015 ProForma'!$A:$G, 6, FALSE)*I96</f>
        <v>0</v>
      </c>
      <c r="R96" s="339">
        <f t="shared" si="3"/>
        <v>682003.67600917537</v>
      </c>
      <c r="S96" s="340">
        <f>VLOOKUP($C96,'2015 ProForma'!$A:$G, 7, FALSE)*K96</f>
        <v>45428.709137551916</v>
      </c>
    </row>
    <row r="97" spans="1:19" x14ac:dyDescent="0.3">
      <c r="A97" s="371">
        <v>95</v>
      </c>
      <c r="B97" s="372" t="s">
        <v>249</v>
      </c>
      <c r="C97" s="372" t="s">
        <v>248</v>
      </c>
      <c r="D97" s="373" t="s">
        <v>250</v>
      </c>
      <c r="E97" s="362"/>
      <c r="F97" s="16">
        <v>1</v>
      </c>
      <c r="G97" s="16">
        <v>9</v>
      </c>
      <c r="H97" s="16">
        <v>9</v>
      </c>
      <c r="I97" s="16">
        <v>1</v>
      </c>
      <c r="J97" s="337">
        <f t="shared" si="2"/>
        <v>20</v>
      </c>
      <c r="K97" s="16">
        <v>13</v>
      </c>
      <c r="L97" s="93"/>
      <c r="M97" s="346">
        <f>VLOOKUP($C97,'2015 ProForma'!$A:$G, 2, FALSE)*E97</f>
        <v>0</v>
      </c>
      <c r="N97" s="338">
        <f>VLOOKUP($C97,'2015 ProForma'!$A:$G, 3, FALSE)*F97</f>
        <v>275775.26323358028</v>
      </c>
      <c r="O97" s="338">
        <f>VLOOKUP($C97,'2015 ProForma'!$A:$G, 4, FALSE)*G97</f>
        <v>2228397.5568636749</v>
      </c>
      <c r="P97" s="338">
        <f>VLOOKUP($C97,'2015 ProForma'!$A:$G, 5, FALSE)*H97</f>
        <v>1956093.344933802</v>
      </c>
      <c r="Q97" s="338">
        <f>VLOOKUP($C97,'2015 ProForma'!$A:$G, 6, FALSE)*I97</f>
        <v>199684.74092452487</v>
      </c>
      <c r="R97" s="339">
        <f t="shared" si="3"/>
        <v>4659950.9059555819</v>
      </c>
      <c r="S97" s="340">
        <f>VLOOKUP($C97,'2015 ProForma'!$A:$G, 7, FALSE)*K97</f>
        <v>275681.67051907006</v>
      </c>
    </row>
    <row r="98" spans="1:19" x14ac:dyDescent="0.3">
      <c r="A98" s="371">
        <v>96</v>
      </c>
      <c r="B98" s="372" t="s">
        <v>251</v>
      </c>
      <c r="C98" s="372" t="s">
        <v>382</v>
      </c>
      <c r="D98" s="373" t="s">
        <v>252</v>
      </c>
      <c r="E98" s="362"/>
      <c r="F98" s="16">
        <v>1</v>
      </c>
      <c r="G98" s="16">
        <v>1</v>
      </c>
      <c r="H98" s="16">
        <v>1</v>
      </c>
      <c r="I98" s="16"/>
      <c r="J98" s="337">
        <f t="shared" si="2"/>
        <v>3</v>
      </c>
      <c r="K98" s="16">
        <v>5</v>
      </c>
      <c r="L98" s="93"/>
      <c r="M98" s="346">
        <f>VLOOKUP($C98,'2015 ProForma'!$A:$G, 2, FALSE)*E98</f>
        <v>0</v>
      </c>
      <c r="N98" s="338">
        <f>VLOOKUP($C98,'2015 ProForma'!$A:$G, 3, FALSE)*F98</f>
        <v>191227.37135469308</v>
      </c>
      <c r="O98" s="338">
        <f>VLOOKUP($C98,'2015 ProForma'!$A:$G, 4, FALSE)*G98</f>
        <v>166590.31894964998</v>
      </c>
      <c r="P98" s="338">
        <f>VLOOKUP($C98,'2015 ProForma'!$A:$G, 5, FALSE)*H98</f>
        <v>141715.54560763793</v>
      </c>
      <c r="Q98" s="338">
        <f>VLOOKUP($C98,'2015 ProForma'!$A:$G, 6, FALSE)*I98</f>
        <v>0</v>
      </c>
      <c r="R98" s="339">
        <f t="shared" si="3"/>
        <v>499533.23591198097</v>
      </c>
      <c r="S98" s="340">
        <f>VLOOKUP($C98,'2015 ProForma'!$A:$G, 7, FALSE)*K98</f>
        <v>188342.65998805349</v>
      </c>
    </row>
    <row r="99" spans="1:19" x14ac:dyDescent="0.3">
      <c r="A99" s="371">
        <v>97</v>
      </c>
      <c r="B99" s="374" t="s">
        <v>353</v>
      </c>
      <c r="C99" s="372" t="s">
        <v>407</v>
      </c>
      <c r="D99" s="373" t="s">
        <v>351</v>
      </c>
      <c r="E99" s="362">
        <v>1</v>
      </c>
      <c r="F99" s="16"/>
      <c r="G99" s="16">
        <v>3</v>
      </c>
      <c r="H99" s="16">
        <v>2</v>
      </c>
      <c r="I99" s="16"/>
      <c r="J99" s="337">
        <f t="shared" si="2"/>
        <v>6</v>
      </c>
      <c r="K99" s="16">
        <v>5</v>
      </c>
      <c r="L99" s="93"/>
      <c r="M99" s="346">
        <f>VLOOKUP($C99,'2015 ProForma'!$A:$G, 2, FALSE)*E99</f>
        <v>328377.92934684822</v>
      </c>
      <c r="N99" s="338">
        <f>VLOOKUP($C99,'2015 ProForma'!$A:$G, 3, FALSE)*F99</f>
        <v>0</v>
      </c>
      <c r="O99" s="338">
        <f>VLOOKUP($C99,'2015 ProForma'!$A:$G, 4, FALSE)*G99</f>
        <v>794278.30060347496</v>
      </c>
      <c r="P99" s="338">
        <f>VLOOKUP($C99,'2015 ProForma'!$A:$G, 5, FALSE)*H99</f>
        <v>466482.29163266474</v>
      </c>
      <c r="Q99" s="338">
        <f>VLOOKUP($C99,'2015 ProForma'!$A:$G, 6, FALSE)*I99</f>
        <v>0</v>
      </c>
      <c r="R99" s="339">
        <f t="shared" si="3"/>
        <v>1589138.5215829881</v>
      </c>
      <c r="S99" s="340">
        <f>VLOOKUP($C99,'2015 ProForma'!$A:$G, 7, FALSE)*K99</f>
        <v>200563.13597048644</v>
      </c>
    </row>
    <row r="100" spans="1:19" x14ac:dyDescent="0.3">
      <c r="A100" s="371">
        <v>98</v>
      </c>
      <c r="B100" s="372" t="s">
        <v>253</v>
      </c>
      <c r="C100" s="372" t="s">
        <v>400</v>
      </c>
      <c r="D100" s="373" t="s">
        <v>254</v>
      </c>
      <c r="E100" s="362"/>
      <c r="F100" s="16">
        <v>1</v>
      </c>
      <c r="G100" s="16">
        <v>1</v>
      </c>
      <c r="H100" s="16">
        <v>1</v>
      </c>
      <c r="I100" s="16"/>
      <c r="J100" s="337">
        <f t="shared" si="2"/>
        <v>3</v>
      </c>
      <c r="K100" s="16">
        <v>5</v>
      </c>
      <c r="L100" s="93"/>
      <c r="M100" s="346">
        <f>VLOOKUP($C100,'2015 ProForma'!$A:$G, 2, FALSE)*E100</f>
        <v>0</v>
      </c>
      <c r="N100" s="338">
        <f>VLOOKUP($C100,'2015 ProForma'!$A:$G, 3, FALSE)*F100</f>
        <v>216603.14212077126</v>
      </c>
      <c r="O100" s="338">
        <f>VLOOKUP($C100,'2015 ProForma'!$A:$G, 4, FALSE)*G100</f>
        <v>188690.29231404999</v>
      </c>
      <c r="P100" s="338">
        <f>VLOOKUP($C100,'2015 ProForma'!$A:$G, 5, FALSE)*H100</f>
        <v>160012.82913807471</v>
      </c>
      <c r="Q100" s="338">
        <f>VLOOKUP($C100,'2015 ProForma'!$A:$G, 6, FALSE)*I100</f>
        <v>0</v>
      </c>
      <c r="R100" s="339">
        <f t="shared" si="3"/>
        <v>565306.2635728959</v>
      </c>
      <c r="S100" s="340">
        <f>VLOOKUP($C100,'2015 ProForma'!$A:$G, 7, FALSE)*K100</f>
        <v>94067.226890937309</v>
      </c>
    </row>
    <row r="101" spans="1:19" s="295" customFormat="1" x14ac:dyDescent="0.3">
      <c r="A101" s="371">
        <v>99</v>
      </c>
      <c r="B101" s="374" t="s">
        <v>352</v>
      </c>
      <c r="C101" s="372" t="s">
        <v>406</v>
      </c>
      <c r="D101" s="373" t="s">
        <v>608</v>
      </c>
      <c r="E101" s="362"/>
      <c r="F101" s="16">
        <v>1</v>
      </c>
      <c r="G101" s="16">
        <v>2</v>
      </c>
      <c r="H101" s="16">
        <v>5</v>
      </c>
      <c r="I101" s="16"/>
      <c r="J101" s="337">
        <f t="shared" si="2"/>
        <v>8</v>
      </c>
      <c r="K101" s="16">
        <v>6</v>
      </c>
      <c r="L101" s="345"/>
      <c r="M101" s="346">
        <f>VLOOKUP($C101,'2015 ProForma'!$A:$G, 2, FALSE)*E101</f>
        <v>0</v>
      </c>
      <c r="N101" s="338">
        <f>VLOOKUP($C101,'2015 ProForma'!$A:$G, 3, FALSE)*F101</f>
        <v>287351.2184658341</v>
      </c>
      <c r="O101" s="338">
        <f>VLOOKUP($C101,'2015 ProForma'!$A:$G, 4, FALSE)*G101</f>
        <v>517269.72389523342</v>
      </c>
      <c r="P101" s="338">
        <f>VLOOKUP($C101,'2015 ProForma'!$A:$G, 5, FALSE)*H101</f>
        <v>1141210.30581909</v>
      </c>
      <c r="Q101" s="338">
        <f>VLOOKUP($C101,'2015 ProForma'!$A:$G, 6, FALSE)*I101</f>
        <v>0</v>
      </c>
      <c r="R101" s="339">
        <f t="shared" si="3"/>
        <v>1945831.2481801575</v>
      </c>
      <c r="S101" s="340">
        <f>VLOOKUP($C101,'2015 ProForma'!$A:$G, 7, FALSE)*K101</f>
        <v>164923.84836968803</v>
      </c>
    </row>
    <row r="102" spans="1:19" x14ac:dyDescent="0.3">
      <c r="A102" s="371">
        <v>100</v>
      </c>
      <c r="B102" s="372" t="s">
        <v>255</v>
      </c>
      <c r="C102" s="372" t="s">
        <v>406</v>
      </c>
      <c r="D102" s="373" t="s">
        <v>609</v>
      </c>
      <c r="E102" s="362"/>
      <c r="F102" s="16"/>
      <c r="G102" s="16">
        <v>2</v>
      </c>
      <c r="H102" s="16">
        <v>2</v>
      </c>
      <c r="I102" s="16"/>
      <c r="J102" s="337">
        <f t="shared" si="2"/>
        <v>4</v>
      </c>
      <c r="K102" s="16">
        <v>9</v>
      </c>
      <c r="L102" s="93"/>
      <c r="M102" s="346">
        <f>VLOOKUP($C102,'2015 ProForma'!$A:$G, 2, FALSE)*E102</f>
        <v>0</v>
      </c>
      <c r="N102" s="338">
        <f>VLOOKUP($C102,'2015 ProForma'!$A:$G, 3, FALSE)*F102</f>
        <v>0</v>
      </c>
      <c r="O102" s="338">
        <f>VLOOKUP($C102,'2015 ProForma'!$A:$G, 4, FALSE)*G102</f>
        <v>517269.72389523342</v>
      </c>
      <c r="P102" s="338">
        <f>VLOOKUP($C102,'2015 ProForma'!$A:$G, 5, FALSE)*H102</f>
        <v>456484.122327636</v>
      </c>
      <c r="Q102" s="338">
        <f>VLOOKUP($C102,'2015 ProForma'!$A:$G, 6, FALSE)*I102</f>
        <v>0</v>
      </c>
      <c r="R102" s="339">
        <f t="shared" si="3"/>
        <v>973753.84622286935</v>
      </c>
      <c r="S102" s="340">
        <f>VLOOKUP($C102,'2015 ProForma'!$A:$G, 7, FALSE)*K102</f>
        <v>247385.77255453201</v>
      </c>
    </row>
    <row r="103" spans="1:19" x14ac:dyDescent="0.3">
      <c r="A103" s="375"/>
      <c r="B103" s="376" t="s">
        <v>603</v>
      </c>
      <c r="C103" s="376" t="s">
        <v>406</v>
      </c>
      <c r="D103" s="377" t="s">
        <v>256</v>
      </c>
      <c r="E103" s="363">
        <f>SUM(E101:E102)</f>
        <v>0</v>
      </c>
      <c r="F103" s="337">
        <f t="shared" ref="F103:K103" si="4">SUM(F101:F102)</f>
        <v>1</v>
      </c>
      <c r="G103" s="337">
        <f t="shared" si="4"/>
        <v>4</v>
      </c>
      <c r="H103" s="337">
        <f t="shared" si="4"/>
        <v>7</v>
      </c>
      <c r="I103" s="337">
        <f t="shared" si="4"/>
        <v>0</v>
      </c>
      <c r="J103" s="337">
        <f t="shared" si="4"/>
        <v>12</v>
      </c>
      <c r="K103" s="337">
        <f t="shared" si="4"/>
        <v>15</v>
      </c>
      <c r="L103" s="93"/>
      <c r="M103" s="346">
        <f>VLOOKUP($C103,'2015 ProForma'!$A:$G, 2, FALSE)*E103</f>
        <v>0</v>
      </c>
      <c r="N103" s="338">
        <f>VLOOKUP($C103,'2015 ProForma'!$A:$G, 3, FALSE)*F103</f>
        <v>287351.2184658341</v>
      </c>
      <c r="O103" s="338">
        <f>VLOOKUP($C103,'2015 ProForma'!$A:$G, 4, FALSE)*G103</f>
        <v>1034539.4477904668</v>
      </c>
      <c r="P103" s="338">
        <f>VLOOKUP($C103,'2015 ProForma'!$A:$G, 5, FALSE)*H103</f>
        <v>1597694.428146726</v>
      </c>
      <c r="Q103" s="338">
        <f>VLOOKUP($C103,'2015 ProForma'!$A:$G, 6, FALSE)*I103</f>
        <v>0</v>
      </c>
      <c r="R103" s="339">
        <f t="shared" si="3"/>
        <v>2919585.0944030266</v>
      </c>
      <c r="S103" s="340">
        <f>VLOOKUP($C103,'2015 ProForma'!$A:$G, 7, FALSE)*K103</f>
        <v>412309.62092422001</v>
      </c>
    </row>
    <row r="104" spans="1:19" x14ac:dyDescent="0.3">
      <c r="A104" s="371">
        <v>101</v>
      </c>
      <c r="B104" s="372" t="s">
        <v>257</v>
      </c>
      <c r="C104" s="372" t="s">
        <v>383</v>
      </c>
      <c r="D104" s="373" t="s">
        <v>258</v>
      </c>
      <c r="E104" s="362"/>
      <c r="F104" s="16"/>
      <c r="G104" s="16"/>
      <c r="H104" s="16"/>
      <c r="I104" s="16"/>
      <c r="J104" s="337">
        <f t="shared" si="2"/>
        <v>0</v>
      </c>
      <c r="K104" s="16">
        <v>1</v>
      </c>
      <c r="L104" s="93"/>
      <c r="M104" s="346">
        <f>VLOOKUP($C104,'2015 ProForma'!$A:$G, 2, FALSE)*E104</f>
        <v>0</v>
      </c>
      <c r="N104" s="338">
        <f>VLOOKUP($C104,'2015 ProForma'!$A:$G, 3, FALSE)*F104</f>
        <v>0</v>
      </c>
      <c r="O104" s="338">
        <f>VLOOKUP($C104,'2015 ProForma'!$A:$G, 4, FALSE)*G104</f>
        <v>0</v>
      </c>
      <c r="P104" s="338">
        <f>VLOOKUP($C104,'2015 ProForma'!$A:$G, 5, FALSE)*H104</f>
        <v>0</v>
      </c>
      <c r="Q104" s="338">
        <f>VLOOKUP($C104,'2015 ProForma'!$A:$G, 6, FALSE)*I104</f>
        <v>0</v>
      </c>
      <c r="R104" s="339">
        <f t="shared" si="3"/>
        <v>0</v>
      </c>
      <c r="S104" s="340">
        <f>VLOOKUP($C104,'2015 ProForma'!$A:$G, 7, FALSE)*K104</f>
        <v>26863.713409455035</v>
      </c>
    </row>
    <row r="105" spans="1:19" x14ac:dyDescent="0.3">
      <c r="A105" s="371">
        <v>102</v>
      </c>
      <c r="B105" s="372" t="s">
        <v>599</v>
      </c>
      <c r="C105" s="372" t="s">
        <v>259</v>
      </c>
      <c r="D105" s="373" t="s">
        <v>261</v>
      </c>
      <c r="E105" s="362"/>
      <c r="F105" s="16">
        <v>1</v>
      </c>
      <c r="G105" s="16">
        <v>2</v>
      </c>
      <c r="H105" s="16">
        <v>2</v>
      </c>
      <c r="I105" s="16"/>
      <c r="J105" s="337">
        <f t="shared" si="2"/>
        <v>5</v>
      </c>
      <c r="K105" s="16">
        <v>5</v>
      </c>
      <c r="L105" s="93"/>
      <c r="M105" s="346">
        <f>VLOOKUP($C105,'2015 ProForma'!$A:$G, 2, FALSE)*E105</f>
        <v>0</v>
      </c>
      <c r="N105" s="338">
        <f>VLOOKUP($C105,'2015 ProForma'!$A:$G, 3, FALSE)*F105</f>
        <v>275384.45394823985</v>
      </c>
      <c r="O105" s="338">
        <f>VLOOKUP($C105,'2015 ProForma'!$A:$G, 4, FALSE)*G105</f>
        <v>495746.71499453334</v>
      </c>
      <c r="P105" s="338">
        <f>VLOOKUP($C105,'2015 ProForma'!$A:$G, 5, FALSE)*H105</f>
        <v>439172.1262504062</v>
      </c>
      <c r="Q105" s="338">
        <f>VLOOKUP($C105,'2015 ProForma'!$A:$G, 6, FALSE)*I105</f>
        <v>0</v>
      </c>
      <c r="R105" s="339">
        <f t="shared" si="3"/>
        <v>1210303.2951931795</v>
      </c>
      <c r="S105" s="340">
        <f>VLOOKUP($C105,'2015 ProForma'!$A:$G, 7, FALSE)*K105</f>
        <v>170484.39474575655</v>
      </c>
    </row>
    <row r="106" spans="1:19" x14ac:dyDescent="0.3">
      <c r="A106" s="371">
        <v>103</v>
      </c>
      <c r="B106" s="372" t="s">
        <v>262</v>
      </c>
      <c r="C106" s="372" t="s">
        <v>417</v>
      </c>
      <c r="D106" s="373" t="s">
        <v>263</v>
      </c>
      <c r="E106" s="362"/>
      <c r="F106" s="16"/>
      <c r="G106" s="16">
        <v>1</v>
      </c>
      <c r="H106" s="16">
        <v>1</v>
      </c>
      <c r="I106" s="16"/>
      <c r="J106" s="337">
        <f t="shared" si="2"/>
        <v>2</v>
      </c>
      <c r="K106" s="16">
        <v>4</v>
      </c>
      <c r="L106" s="93"/>
      <c r="M106" s="346">
        <f>VLOOKUP($C106,'2015 ProForma'!$A:$G, 2, FALSE)*E106</f>
        <v>0</v>
      </c>
      <c r="N106" s="338">
        <f>VLOOKUP($C106,'2015 ProForma'!$A:$G, 3, FALSE)*F106</f>
        <v>0</v>
      </c>
      <c r="O106" s="338">
        <f>VLOOKUP($C106,'2015 ProForma'!$A:$G, 4, FALSE)*G106</f>
        <v>194310.40915401664</v>
      </c>
      <c r="P106" s="338">
        <f>VLOOKUP($C106,'2015 ProForma'!$A:$G, 5, FALSE)*H106</f>
        <v>164985.37100620882</v>
      </c>
      <c r="Q106" s="338">
        <f>VLOOKUP($C106,'2015 ProForma'!$A:$G, 6, FALSE)*I106</f>
        <v>0</v>
      </c>
      <c r="R106" s="339">
        <f t="shared" si="3"/>
        <v>359295.78016022546</v>
      </c>
      <c r="S106" s="340">
        <f>VLOOKUP($C106,'2015 ProForma'!$A:$G, 7, FALSE)*K106</f>
        <v>93783.069862820616</v>
      </c>
    </row>
    <row r="107" spans="1:19" x14ac:dyDescent="0.3">
      <c r="A107" s="371">
        <v>104</v>
      </c>
      <c r="B107" s="372" t="s">
        <v>267</v>
      </c>
      <c r="C107" s="372" t="s">
        <v>266</v>
      </c>
      <c r="D107" s="373" t="s">
        <v>268</v>
      </c>
      <c r="E107" s="362"/>
      <c r="F107" s="16"/>
      <c r="G107" s="16">
        <v>2</v>
      </c>
      <c r="H107" s="16"/>
      <c r="I107" s="16"/>
      <c r="J107" s="337">
        <f t="shared" si="2"/>
        <v>2</v>
      </c>
      <c r="K107" s="16">
        <v>2</v>
      </c>
      <c r="L107" s="93"/>
      <c r="M107" s="346">
        <f>VLOOKUP($C107,'2015 ProForma'!$A:$G, 2, FALSE)*E107</f>
        <v>0</v>
      </c>
      <c r="N107" s="338">
        <f>VLOOKUP($C107,'2015 ProForma'!$A:$G, 3, FALSE)*F107</f>
        <v>0</v>
      </c>
      <c r="O107" s="338">
        <f>VLOOKUP($C107,'2015 ProForma'!$A:$G, 4, FALSE)*G107</f>
        <v>366604.62527183333</v>
      </c>
      <c r="P107" s="338">
        <f>VLOOKUP($C107,'2015 ProForma'!$A:$G, 5, FALSE)*H107</f>
        <v>0</v>
      </c>
      <c r="Q107" s="338">
        <f>VLOOKUP($C107,'2015 ProForma'!$A:$G, 6, FALSE)*I107</f>
        <v>0</v>
      </c>
      <c r="R107" s="339">
        <f t="shared" si="3"/>
        <v>366604.62527183333</v>
      </c>
      <c r="S107" s="340">
        <f>VLOOKUP($C107,'2015 ProForma'!$A:$G, 7, FALSE)*K107</f>
        <v>123724.0679427515</v>
      </c>
    </row>
    <row r="108" spans="1:19" x14ac:dyDescent="0.3">
      <c r="A108" s="371">
        <v>105</v>
      </c>
      <c r="B108" s="372" t="s">
        <v>269</v>
      </c>
      <c r="C108" s="372" t="s">
        <v>384</v>
      </c>
      <c r="D108" s="373" t="s">
        <v>270</v>
      </c>
      <c r="E108" s="362"/>
      <c r="F108" s="16"/>
      <c r="G108" s="16">
        <v>1</v>
      </c>
      <c r="H108" s="16"/>
      <c r="I108" s="16"/>
      <c r="J108" s="337">
        <f t="shared" si="2"/>
        <v>1</v>
      </c>
      <c r="K108" s="16">
        <v>2</v>
      </c>
      <c r="L108" s="93"/>
      <c r="M108" s="346">
        <f>VLOOKUP($C108,'2015 ProForma'!$A:$G, 2, FALSE)*E108</f>
        <v>0</v>
      </c>
      <c r="N108" s="338">
        <f>VLOOKUP($C108,'2015 ProForma'!$A:$G, 3, FALSE)*F108</f>
        <v>0</v>
      </c>
      <c r="O108" s="338">
        <f>VLOOKUP($C108,'2015 ProForma'!$A:$G, 4, FALSE)*G108</f>
        <v>191384.55369907495</v>
      </c>
      <c r="P108" s="338">
        <f>VLOOKUP($C108,'2015 ProForma'!$A:$G, 5, FALSE)*H108</f>
        <v>0</v>
      </c>
      <c r="Q108" s="338">
        <f>VLOOKUP($C108,'2015 ProForma'!$A:$G, 6, FALSE)*I108</f>
        <v>0</v>
      </c>
      <c r="R108" s="339">
        <f t="shared" si="3"/>
        <v>191384.55369907495</v>
      </c>
      <c r="S108" s="340">
        <f>VLOOKUP($C108,'2015 ProForma'!$A:$G, 7, FALSE)*K108</f>
        <v>62575.288521095325</v>
      </c>
    </row>
    <row r="109" spans="1:19" x14ac:dyDescent="0.3">
      <c r="A109" s="371">
        <v>106</v>
      </c>
      <c r="B109" s="372" t="s">
        <v>600</v>
      </c>
      <c r="C109" s="372" t="s">
        <v>342</v>
      </c>
      <c r="D109" s="373" t="s">
        <v>343</v>
      </c>
      <c r="E109" s="362"/>
      <c r="F109" s="16"/>
      <c r="G109" s="16">
        <v>1</v>
      </c>
      <c r="H109" s="16"/>
      <c r="I109" s="16"/>
      <c r="J109" s="337">
        <f t="shared" si="2"/>
        <v>1</v>
      </c>
      <c r="K109" s="16">
        <v>2</v>
      </c>
      <c r="L109" s="93"/>
      <c r="M109" s="346">
        <f>VLOOKUP($C109,'2015 ProForma'!$A:$G, 2, FALSE)*E109</f>
        <v>0</v>
      </c>
      <c r="N109" s="338">
        <f>VLOOKUP($C109,'2015 ProForma'!$A:$G, 3, FALSE)*F109</f>
        <v>0</v>
      </c>
      <c r="O109" s="338">
        <f>VLOOKUP($C109,'2015 ProForma'!$A:$G, 4, FALSE)*G109</f>
        <v>186676.84982256667</v>
      </c>
      <c r="P109" s="338">
        <f>VLOOKUP($C109,'2015 ProForma'!$A:$G, 5, FALSE)*H109</f>
        <v>0</v>
      </c>
      <c r="Q109" s="338">
        <f>VLOOKUP($C109,'2015 ProForma'!$A:$G, 6, FALSE)*I109</f>
        <v>0</v>
      </c>
      <c r="R109" s="339">
        <f t="shared" si="3"/>
        <v>186676.84982256667</v>
      </c>
      <c r="S109" s="340">
        <f>VLOOKUP($C109,'2015 ProForma'!$A:$G, 7, FALSE)*K109</f>
        <v>96706.294007837074</v>
      </c>
    </row>
    <row r="110" spans="1:19" x14ac:dyDescent="0.3">
      <c r="A110" s="371">
        <v>107</v>
      </c>
      <c r="B110" s="372" t="s">
        <v>272</v>
      </c>
      <c r="C110" s="372" t="s">
        <v>271</v>
      </c>
      <c r="D110" s="373" t="s">
        <v>273</v>
      </c>
      <c r="E110" s="362"/>
      <c r="F110" s="16"/>
      <c r="G110" s="16">
        <v>1</v>
      </c>
      <c r="H110" s="16"/>
      <c r="I110" s="16"/>
      <c r="J110" s="337">
        <f t="shared" si="2"/>
        <v>1</v>
      </c>
      <c r="K110" s="16">
        <v>2</v>
      </c>
      <c r="L110" s="93"/>
      <c r="M110" s="346">
        <f>VLOOKUP($C110,'2015 ProForma'!$A:$G, 2, FALSE)*E110</f>
        <v>0</v>
      </c>
      <c r="N110" s="338">
        <f>VLOOKUP($C110,'2015 ProForma'!$A:$G, 3, FALSE)*F110</f>
        <v>0</v>
      </c>
      <c r="O110" s="338">
        <f>VLOOKUP($C110,'2015 ProForma'!$A:$G, 4, FALSE)*G110</f>
        <v>164420.97361537497</v>
      </c>
      <c r="P110" s="338">
        <f>VLOOKUP($C110,'2015 ProForma'!$A:$G, 5, FALSE)*H110</f>
        <v>0</v>
      </c>
      <c r="Q110" s="338">
        <f>VLOOKUP($C110,'2015 ProForma'!$A:$G, 6, FALSE)*I110</f>
        <v>0</v>
      </c>
      <c r="R110" s="339">
        <f t="shared" si="3"/>
        <v>164420.97361537497</v>
      </c>
      <c r="S110" s="340">
        <f>VLOOKUP($C110,'2015 ProForma'!$A:$G, 7, FALSE)*K110</f>
        <v>44659.486793434648</v>
      </c>
    </row>
    <row r="111" spans="1:19" x14ac:dyDescent="0.3">
      <c r="A111" s="371">
        <v>108</v>
      </c>
      <c r="B111" s="372" t="s">
        <v>275</v>
      </c>
      <c r="C111" s="372" t="s">
        <v>274</v>
      </c>
      <c r="D111" s="373" t="s">
        <v>276</v>
      </c>
      <c r="E111" s="362"/>
      <c r="F111" s="16"/>
      <c r="G111" s="16">
        <v>1</v>
      </c>
      <c r="H111" s="16">
        <v>1</v>
      </c>
      <c r="I111" s="16"/>
      <c r="J111" s="337">
        <f t="shared" si="2"/>
        <v>2</v>
      </c>
      <c r="K111" s="16">
        <v>3</v>
      </c>
      <c r="L111" s="93"/>
      <c r="M111" s="346">
        <f>VLOOKUP($C111,'2015 ProForma'!$A:$G, 2, FALSE)*E111</f>
        <v>0</v>
      </c>
      <c r="N111" s="338">
        <f>VLOOKUP($C111,'2015 ProForma'!$A:$G, 3, FALSE)*F111</f>
        <v>0</v>
      </c>
      <c r="O111" s="338">
        <f>VLOOKUP($C111,'2015 ProForma'!$A:$G, 4, FALSE)*G111</f>
        <v>178722.58359689164</v>
      </c>
      <c r="P111" s="338">
        <f>VLOOKUP($C111,'2015 ProForma'!$A:$G, 5, FALSE)*H111</f>
        <v>151618.31466470018</v>
      </c>
      <c r="Q111" s="338">
        <f>VLOOKUP($C111,'2015 ProForma'!$A:$G, 6, FALSE)*I111</f>
        <v>0</v>
      </c>
      <c r="R111" s="339">
        <f t="shared" si="3"/>
        <v>330340.89826159179</v>
      </c>
      <c r="S111" s="340">
        <f>VLOOKUP($C111,'2015 ProForma'!$A:$G, 7, FALSE)*K111</f>
        <v>138096.1612663485</v>
      </c>
    </row>
    <row r="112" spans="1:19" x14ac:dyDescent="0.3">
      <c r="A112" s="371">
        <v>109</v>
      </c>
      <c r="B112" s="372" t="s">
        <v>277</v>
      </c>
      <c r="C112" s="372" t="s">
        <v>418</v>
      </c>
      <c r="D112" s="373" t="s">
        <v>278</v>
      </c>
      <c r="E112" s="362"/>
      <c r="F112" s="16"/>
      <c r="G112" s="16">
        <v>1</v>
      </c>
      <c r="H112" s="16"/>
      <c r="I112" s="16"/>
      <c r="J112" s="337">
        <f t="shared" si="2"/>
        <v>1</v>
      </c>
      <c r="K112" s="16">
        <v>2</v>
      </c>
      <c r="L112" s="93"/>
      <c r="M112" s="346">
        <f>VLOOKUP($C112,'2015 ProForma'!$A:$G, 2, FALSE)*E112</f>
        <v>0</v>
      </c>
      <c r="N112" s="338">
        <f>VLOOKUP($C112,'2015 ProForma'!$A:$G, 3, FALSE)*F112</f>
        <v>0</v>
      </c>
      <c r="O112" s="338">
        <f>VLOOKUP($C112,'2015 ProForma'!$A:$G, 4, FALSE)*G112</f>
        <v>202325.70771889164</v>
      </c>
      <c r="P112" s="338">
        <f>VLOOKUP($C112,'2015 ProForma'!$A:$G, 5, FALSE)*H112</f>
        <v>0</v>
      </c>
      <c r="Q112" s="338">
        <f>VLOOKUP($C112,'2015 ProForma'!$A:$G, 6, FALSE)*I112</f>
        <v>0</v>
      </c>
      <c r="R112" s="339">
        <f t="shared" si="3"/>
        <v>202325.70771889164</v>
      </c>
      <c r="S112" s="340">
        <f>VLOOKUP($C112,'2015 ProForma'!$A:$G, 7, FALSE)*K112</f>
        <v>54936.10978496309</v>
      </c>
    </row>
    <row r="113" spans="1:19" x14ac:dyDescent="0.3">
      <c r="A113" s="371">
        <v>110</v>
      </c>
      <c r="B113" s="372" t="s">
        <v>280</v>
      </c>
      <c r="C113" s="372" t="s">
        <v>279</v>
      </c>
      <c r="D113" s="373" t="s">
        <v>281</v>
      </c>
      <c r="E113" s="362"/>
      <c r="F113" s="16"/>
      <c r="G113" s="16">
        <v>1</v>
      </c>
      <c r="H113" s="16">
        <v>1</v>
      </c>
      <c r="I113" s="16"/>
      <c r="J113" s="337">
        <f t="shared" si="2"/>
        <v>2</v>
      </c>
      <c r="K113" s="16">
        <v>3</v>
      </c>
      <c r="L113" s="93"/>
      <c r="M113" s="346">
        <f>VLOOKUP($C113,'2015 ProForma'!$A:$G, 2, FALSE)*E113</f>
        <v>0</v>
      </c>
      <c r="N113" s="338">
        <f>VLOOKUP($C113,'2015 ProForma'!$A:$G, 3, FALSE)*F113</f>
        <v>0</v>
      </c>
      <c r="O113" s="338">
        <f>VLOOKUP($C113,'2015 ProForma'!$A:$G, 4, FALSE)*G113</f>
        <v>184551.37495589998</v>
      </c>
      <c r="P113" s="338">
        <f>VLOOKUP($C113,'2015 ProForma'!$A:$G, 5, FALSE)*H113</f>
        <v>156859.72401065516</v>
      </c>
      <c r="Q113" s="338">
        <f>VLOOKUP($C113,'2015 ProForma'!$A:$G, 6, FALSE)*I113</f>
        <v>0</v>
      </c>
      <c r="R113" s="339">
        <f t="shared" si="3"/>
        <v>341411.09896655515</v>
      </c>
      <c r="S113" s="340">
        <f>VLOOKUP($C113,'2015 ProForma'!$A:$G, 7, FALSE)*K113</f>
        <v>82128.765198591544</v>
      </c>
    </row>
    <row r="114" spans="1:19" x14ac:dyDescent="0.3">
      <c r="A114" s="371">
        <v>111</v>
      </c>
      <c r="B114" s="372" t="s">
        <v>283</v>
      </c>
      <c r="C114" s="372" t="s">
        <v>282</v>
      </c>
      <c r="D114" s="373" t="s">
        <v>284</v>
      </c>
      <c r="E114" s="362"/>
      <c r="F114" s="16"/>
      <c r="G114" s="16">
        <v>1</v>
      </c>
      <c r="H114" s="16">
        <v>1</v>
      </c>
      <c r="I114" s="16"/>
      <c r="J114" s="337">
        <f t="shared" si="2"/>
        <v>2</v>
      </c>
      <c r="K114" s="16">
        <v>3</v>
      </c>
      <c r="L114" s="93"/>
      <c r="M114" s="346">
        <f>VLOOKUP($C114,'2015 ProForma'!$A:$G, 2, FALSE)*E114</f>
        <v>0</v>
      </c>
      <c r="N114" s="338">
        <f>VLOOKUP($C114,'2015 ProForma'!$A:$G, 3, FALSE)*F114</f>
        <v>0</v>
      </c>
      <c r="O114" s="338">
        <f>VLOOKUP($C114,'2015 ProForma'!$A:$G, 4, FALSE)*G114</f>
        <v>176954.968880075</v>
      </c>
      <c r="P114" s="338">
        <f>VLOOKUP($C114,'2015 ProForma'!$A:$G, 5, FALSE)*H114</f>
        <v>150175.52711996261</v>
      </c>
      <c r="Q114" s="338">
        <f>VLOOKUP($C114,'2015 ProForma'!$A:$G, 6, FALSE)*I114</f>
        <v>0</v>
      </c>
      <c r="R114" s="339">
        <f t="shared" si="3"/>
        <v>327130.49600003764</v>
      </c>
      <c r="S114" s="340">
        <f>VLOOKUP($C114,'2015 ProForma'!$A:$G, 7, FALSE)*K114</f>
        <v>98696.694119647233</v>
      </c>
    </row>
    <row r="115" spans="1:19" x14ac:dyDescent="0.3">
      <c r="A115" s="371">
        <v>112</v>
      </c>
      <c r="B115" s="372" t="s">
        <v>601</v>
      </c>
      <c r="C115" s="372" t="s">
        <v>408</v>
      </c>
      <c r="D115" s="373" t="s">
        <v>286</v>
      </c>
      <c r="E115" s="362"/>
      <c r="F115" s="16"/>
      <c r="G115" s="16">
        <v>2</v>
      </c>
      <c r="H115" s="16"/>
      <c r="I115" s="16"/>
      <c r="J115" s="337">
        <f t="shared" si="2"/>
        <v>2</v>
      </c>
      <c r="K115" s="16">
        <v>5</v>
      </c>
      <c r="L115" s="93"/>
      <c r="M115" s="346">
        <f>VLOOKUP($C115,'2015 ProForma'!$A:$G, 2, FALSE)*E115</f>
        <v>0</v>
      </c>
      <c r="N115" s="338">
        <f>VLOOKUP($C115,'2015 ProForma'!$A:$G, 3, FALSE)*F115</f>
        <v>0</v>
      </c>
      <c r="O115" s="338">
        <f>VLOOKUP($C115,'2015 ProForma'!$A:$G, 4, FALSE)*G115</f>
        <v>419406.93971035001</v>
      </c>
      <c r="P115" s="338">
        <f>VLOOKUP($C115,'2015 ProForma'!$A:$G, 5, FALSE)*H115</f>
        <v>0</v>
      </c>
      <c r="Q115" s="338">
        <f>VLOOKUP($C115,'2015 ProForma'!$A:$G, 6, FALSE)*I115</f>
        <v>0</v>
      </c>
      <c r="R115" s="339">
        <f t="shared" si="3"/>
        <v>419406.93971035001</v>
      </c>
      <c r="S115" s="340">
        <f>VLOOKUP($C115,'2015 ProForma'!$A:$G, 7, FALSE)*K115</f>
        <v>553184.47848308005</v>
      </c>
    </row>
    <row r="116" spans="1:19" x14ac:dyDescent="0.3">
      <c r="A116" s="371">
        <v>113</v>
      </c>
      <c r="B116" s="372" t="s">
        <v>264</v>
      </c>
      <c r="C116" s="372" t="s">
        <v>385</v>
      </c>
      <c r="D116" s="373" t="s">
        <v>265</v>
      </c>
      <c r="E116" s="362"/>
      <c r="F116" s="16"/>
      <c r="G116" s="16">
        <v>1</v>
      </c>
      <c r="H116" s="16">
        <v>1</v>
      </c>
      <c r="I116" s="16"/>
      <c r="J116" s="337">
        <f t="shared" si="2"/>
        <v>2</v>
      </c>
      <c r="K116" s="16">
        <v>3</v>
      </c>
      <c r="L116" s="93"/>
      <c r="M116" s="346">
        <f>VLOOKUP($C116,'2015 ProForma'!$A:$G, 2, FALSE)*E116</f>
        <v>0</v>
      </c>
      <c r="N116" s="338">
        <f>VLOOKUP($C116,'2015 ProForma'!$A:$G, 3, FALSE)*F116</f>
        <v>0</v>
      </c>
      <c r="O116" s="338">
        <f>VLOOKUP($C116,'2015 ProForma'!$A:$G, 4, FALSE)*G116</f>
        <v>200801.90489974164</v>
      </c>
      <c r="P116" s="338">
        <f>VLOOKUP($C116,'2015 ProForma'!$A:$G, 5, FALSE)*H116</f>
        <v>170123.96195532661</v>
      </c>
      <c r="Q116" s="338">
        <f>VLOOKUP($C116,'2015 ProForma'!$A:$G, 6, FALSE)*I116</f>
        <v>0</v>
      </c>
      <c r="R116" s="339">
        <f t="shared" si="3"/>
        <v>370925.86685506825</v>
      </c>
      <c r="S116" s="340">
        <f>VLOOKUP($C116,'2015 ProForma'!$A:$G, 7, FALSE)*K116</f>
        <v>76812.298112474178</v>
      </c>
    </row>
    <row r="117" spans="1:19" x14ac:dyDescent="0.3">
      <c r="A117" s="371">
        <v>114</v>
      </c>
      <c r="B117" s="372" t="s">
        <v>475</v>
      </c>
      <c r="C117" s="372" t="s">
        <v>474</v>
      </c>
      <c r="D117" s="373" t="s">
        <v>346</v>
      </c>
      <c r="E117" s="362"/>
      <c r="F117" s="16"/>
      <c r="G117" s="16"/>
      <c r="H117" s="16"/>
      <c r="I117" s="16"/>
      <c r="J117" s="337">
        <f t="shared" si="2"/>
        <v>0</v>
      </c>
      <c r="K117" s="16">
        <v>1</v>
      </c>
      <c r="L117" s="93"/>
      <c r="M117" s="346">
        <f>VLOOKUP($C117,'2015 ProForma'!$A:$G, 2, FALSE)*E117</f>
        <v>0</v>
      </c>
      <c r="N117" s="338">
        <f>VLOOKUP($C117,'2015 ProForma'!$A:$G, 3, FALSE)*F117</f>
        <v>0</v>
      </c>
      <c r="O117" s="338">
        <f>VLOOKUP($C117,'2015 ProForma'!$A:$G, 4, FALSE)*G117</f>
        <v>0</v>
      </c>
      <c r="P117" s="338">
        <f>VLOOKUP($C117,'2015 ProForma'!$A:$G, 5, FALSE)*H117</f>
        <v>0</v>
      </c>
      <c r="Q117" s="338">
        <f>VLOOKUP($C117,'2015 ProForma'!$A:$G, 6, FALSE)*I117</f>
        <v>0</v>
      </c>
      <c r="R117" s="339">
        <f t="shared" si="3"/>
        <v>0</v>
      </c>
      <c r="S117" s="340">
        <f>VLOOKUP($C117,'2015 ProForma'!$A:$G, 7, FALSE)*K117</f>
        <v>68135.051133826462</v>
      </c>
    </row>
    <row r="118" spans="1:19" x14ac:dyDescent="0.3">
      <c r="A118" s="371">
        <v>115</v>
      </c>
      <c r="B118" s="372" t="s">
        <v>288</v>
      </c>
      <c r="C118" s="372" t="s">
        <v>287</v>
      </c>
      <c r="D118" s="373" t="s">
        <v>289</v>
      </c>
      <c r="E118" s="362"/>
      <c r="F118" s="16"/>
      <c r="G118" s="16">
        <v>1</v>
      </c>
      <c r="H118" s="16"/>
      <c r="I118" s="16"/>
      <c r="J118" s="337">
        <f t="shared" si="2"/>
        <v>1</v>
      </c>
      <c r="K118" s="16">
        <v>2</v>
      </c>
      <c r="L118" s="93"/>
      <c r="M118" s="346">
        <f>VLOOKUP($C118,'2015 ProForma'!$A:$G, 2, FALSE)*E118</f>
        <v>0</v>
      </c>
      <c r="N118" s="338">
        <f>VLOOKUP($C118,'2015 ProForma'!$A:$G, 3, FALSE)*F118</f>
        <v>0</v>
      </c>
      <c r="O118" s="338">
        <f>VLOOKUP($C118,'2015 ProForma'!$A:$G, 4, FALSE)*G118</f>
        <v>189468.74831370835</v>
      </c>
      <c r="P118" s="338">
        <f>VLOOKUP($C118,'2015 ProForma'!$A:$G, 5, FALSE)*H118</f>
        <v>0</v>
      </c>
      <c r="Q118" s="338">
        <f>VLOOKUP($C118,'2015 ProForma'!$A:$G, 6, FALSE)*I118</f>
        <v>0</v>
      </c>
      <c r="R118" s="339">
        <f t="shared" si="3"/>
        <v>189468.74831370835</v>
      </c>
      <c r="S118" s="340">
        <f>VLOOKUP($C118,'2015 ProForma'!$A:$G, 7, FALSE)*K118</f>
        <v>42900.270453895238</v>
      </c>
    </row>
    <row r="119" spans="1:19" x14ac:dyDescent="0.3">
      <c r="A119" s="371">
        <v>116</v>
      </c>
      <c r="B119" s="372" t="s">
        <v>291</v>
      </c>
      <c r="C119" s="372" t="s">
        <v>290</v>
      </c>
      <c r="D119" s="373" t="s">
        <v>292</v>
      </c>
      <c r="E119" s="362"/>
      <c r="F119" s="16"/>
      <c r="G119" s="16">
        <v>1</v>
      </c>
      <c r="H119" s="16"/>
      <c r="I119" s="16"/>
      <c r="J119" s="337">
        <f t="shared" si="2"/>
        <v>1</v>
      </c>
      <c r="K119" s="16">
        <v>2</v>
      </c>
      <c r="L119" s="93"/>
      <c r="M119" s="346">
        <f>VLOOKUP($C119,'2015 ProForma'!$A:$G, 2, FALSE)*E119</f>
        <v>0</v>
      </c>
      <c r="N119" s="338">
        <f>VLOOKUP($C119,'2015 ProForma'!$A:$G, 3, FALSE)*F119</f>
        <v>0</v>
      </c>
      <c r="O119" s="338">
        <f>VLOOKUP($C119,'2015 ProForma'!$A:$G, 4, FALSE)*G119</f>
        <v>245409.86609497503</v>
      </c>
      <c r="P119" s="338">
        <f>VLOOKUP($C119,'2015 ProForma'!$A:$G, 5, FALSE)*H119</f>
        <v>0</v>
      </c>
      <c r="Q119" s="338">
        <f>VLOOKUP($C119,'2015 ProForma'!$A:$G, 6, FALSE)*I119</f>
        <v>0</v>
      </c>
      <c r="R119" s="339">
        <f t="shared" si="3"/>
        <v>245409.86609497503</v>
      </c>
      <c r="S119" s="340">
        <f>VLOOKUP($C119,'2015 ProForma'!$A:$G, 7, FALSE)*K119</f>
        <v>174368.90359678195</v>
      </c>
    </row>
    <row r="120" spans="1:19" x14ac:dyDescent="0.3">
      <c r="A120" s="371">
        <v>117</v>
      </c>
      <c r="B120" s="372" t="s">
        <v>293</v>
      </c>
      <c r="C120" s="372" t="s">
        <v>401</v>
      </c>
      <c r="D120" s="373" t="s">
        <v>294</v>
      </c>
      <c r="E120" s="362"/>
      <c r="F120" s="16"/>
      <c r="G120" s="16">
        <v>1</v>
      </c>
      <c r="H120" s="16"/>
      <c r="I120" s="16"/>
      <c r="J120" s="337">
        <f t="shared" si="2"/>
        <v>1</v>
      </c>
      <c r="K120" s="16">
        <v>2</v>
      </c>
      <c r="L120" s="93"/>
      <c r="M120" s="346">
        <f>VLOOKUP($C120,'2015 ProForma'!$A:$G, 2, FALSE)*E120</f>
        <v>0</v>
      </c>
      <c r="N120" s="338">
        <f>VLOOKUP($C120,'2015 ProForma'!$A:$G, 3, FALSE)*F120</f>
        <v>0</v>
      </c>
      <c r="O120" s="338">
        <f>VLOOKUP($C120,'2015 ProForma'!$A:$G, 4, FALSE)*G120</f>
        <v>180687.5187738667</v>
      </c>
      <c r="P120" s="338">
        <f>VLOOKUP($C120,'2015 ProForma'!$A:$G, 5, FALSE)*H120</f>
        <v>0</v>
      </c>
      <c r="Q120" s="338">
        <f>VLOOKUP($C120,'2015 ProForma'!$A:$G, 6, FALSE)*I120</f>
        <v>0</v>
      </c>
      <c r="R120" s="339">
        <f t="shared" si="3"/>
        <v>180687.5187738667</v>
      </c>
      <c r="S120" s="340">
        <f>VLOOKUP($C120,'2015 ProForma'!$A:$G, 7, FALSE)*K120</f>
        <v>53219.49480351169</v>
      </c>
    </row>
    <row r="121" spans="1:19" s="295" customFormat="1" x14ac:dyDescent="0.3">
      <c r="A121" s="371">
        <v>118</v>
      </c>
      <c r="B121" s="372" t="s">
        <v>298</v>
      </c>
      <c r="C121" s="372" t="s">
        <v>386</v>
      </c>
      <c r="D121" s="373" t="s">
        <v>299</v>
      </c>
      <c r="E121" s="362"/>
      <c r="F121" s="16"/>
      <c r="G121" s="16">
        <v>1</v>
      </c>
      <c r="H121" s="16"/>
      <c r="I121" s="16"/>
      <c r="J121" s="337">
        <f t="shared" si="2"/>
        <v>1</v>
      </c>
      <c r="K121" s="16">
        <v>3</v>
      </c>
      <c r="L121" s="345"/>
      <c r="M121" s="346">
        <f>VLOOKUP($C121,'2015 ProForma'!$A:$G, 2, FALSE)*E121</f>
        <v>0</v>
      </c>
      <c r="N121" s="338">
        <f>VLOOKUP($C121,'2015 ProForma'!$A:$G, 3, FALSE)*F121</f>
        <v>0</v>
      </c>
      <c r="O121" s="338">
        <f>VLOOKUP($C121,'2015 ProForma'!$A:$G, 4, FALSE)*G121</f>
        <v>191574.21704218333</v>
      </c>
      <c r="P121" s="338">
        <f>VLOOKUP($C121,'2015 ProForma'!$A:$G, 5, FALSE)*H121</f>
        <v>0</v>
      </c>
      <c r="Q121" s="338">
        <f>VLOOKUP($C121,'2015 ProForma'!$A:$G, 6, FALSE)*I121</f>
        <v>0</v>
      </c>
      <c r="R121" s="339">
        <f t="shared" si="3"/>
        <v>191574.21704218333</v>
      </c>
      <c r="S121" s="340">
        <f>VLOOKUP($C121,'2015 ProForma'!$A:$G, 7, FALSE)*K121</f>
        <v>136384.80704604948</v>
      </c>
    </row>
    <row r="122" spans="1:19" ht="15.75" thickBot="1" x14ac:dyDescent="0.35">
      <c r="A122" s="378">
        <v>119</v>
      </c>
      <c r="B122" s="379" t="s">
        <v>300</v>
      </c>
      <c r="C122" s="379" t="s">
        <v>387</v>
      </c>
      <c r="D122" s="380" t="s">
        <v>301</v>
      </c>
      <c r="E122" s="364"/>
      <c r="F122" s="100"/>
      <c r="G122" s="100">
        <v>1</v>
      </c>
      <c r="H122" s="100">
        <v>1</v>
      </c>
      <c r="I122" s="100"/>
      <c r="J122" s="341">
        <f t="shared" si="2"/>
        <v>2</v>
      </c>
      <c r="K122" s="100">
        <v>3</v>
      </c>
      <c r="L122" s="105"/>
      <c r="M122" s="347">
        <f>VLOOKUP($C122,'2015 ProForma'!$A:$G, 2, FALSE)*E122</f>
        <v>0</v>
      </c>
      <c r="N122" s="342">
        <f>VLOOKUP($C122,'2015 ProForma'!$A:$G, 3, FALSE)*F122</f>
        <v>0</v>
      </c>
      <c r="O122" s="342">
        <f>VLOOKUP($C122,'2015 ProForma'!$A:$G, 4, FALSE)*G122</f>
        <v>196039.77821829997</v>
      </c>
      <c r="P122" s="342">
        <f>VLOOKUP($C122,'2015 ProForma'!$A:$G, 5, FALSE)*H122</f>
        <v>166011.73072109194</v>
      </c>
      <c r="Q122" s="342">
        <f>VLOOKUP($C122,'2015 ProForma'!$A:$G, 6, FALSE)*I122</f>
        <v>0</v>
      </c>
      <c r="R122" s="343">
        <f t="shared" si="3"/>
        <v>362051.50893939193</v>
      </c>
      <c r="S122" s="344">
        <f>VLOOKUP($C122,'2015 ProForma'!$A:$G, 7, FALSE)*K122</f>
        <v>136315.84601406311</v>
      </c>
    </row>
    <row r="123" spans="1:19" ht="15.75" thickBot="1" x14ac:dyDescent="0.35">
      <c r="A123" s="381"/>
      <c r="B123" s="382" t="s">
        <v>323</v>
      </c>
      <c r="C123" s="382"/>
      <c r="D123" s="383"/>
      <c r="E123" s="354">
        <f>SUM(E2:E122)-E103</f>
        <v>4</v>
      </c>
      <c r="F123" s="355">
        <f t="shared" ref="F123:K123" si="5">SUM(F2:F122)-F103</f>
        <v>22</v>
      </c>
      <c r="G123" s="355">
        <f t="shared" si="5"/>
        <v>166</v>
      </c>
      <c r="H123" s="355">
        <f t="shared" si="5"/>
        <v>94</v>
      </c>
      <c r="I123" s="355">
        <f t="shared" si="5"/>
        <v>6</v>
      </c>
      <c r="J123" s="355">
        <f t="shared" si="5"/>
        <v>292</v>
      </c>
      <c r="K123" s="385">
        <f t="shared" si="5"/>
        <v>405</v>
      </c>
      <c r="M123" s="336">
        <f>SUM(M3:M122)-M103</f>
        <v>1251948.0072754952</v>
      </c>
      <c r="N123" s="336">
        <f t="shared" ref="N123:S123" si="6">SUM(N3:N122)-N103</f>
        <v>5554997.3569804989</v>
      </c>
      <c r="O123" s="336">
        <f t="shared" si="6"/>
        <v>35248465.011871524</v>
      </c>
      <c r="P123" s="336">
        <f t="shared" si="6"/>
        <v>17823667.339729562</v>
      </c>
      <c r="Q123" s="336">
        <f t="shared" si="6"/>
        <v>1049157.5569468122</v>
      </c>
      <c r="R123" s="336">
        <f t="shared" si="6"/>
        <v>60928235.27280391</v>
      </c>
      <c r="S123" s="348">
        <f t="shared" si="6"/>
        <v>14779113.401730549</v>
      </c>
    </row>
    <row r="124" spans="1:19" x14ac:dyDescent="0.3">
      <c r="J124" s="295">
        <v>11</v>
      </c>
      <c r="M124" s="1"/>
      <c r="N124" s="1"/>
      <c r="O124" s="1"/>
      <c r="P124" s="1"/>
      <c r="Q124" s="1"/>
      <c r="R124" s="334"/>
    </row>
    <row r="125" spans="1:19" x14ac:dyDescent="0.3">
      <c r="J125" s="295">
        <f>SUM(J123:J124)</f>
        <v>303</v>
      </c>
      <c r="S125" s="149">
        <f>R123+S123</f>
        <v>75707348.674534455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38" sqref="G138"/>
    </sheetView>
  </sheetViews>
  <sheetFormatPr defaultRowHeight="15" x14ac:dyDescent="0.3"/>
  <cols>
    <col min="1" max="1" width="15" bestFit="1" customWidth="1"/>
    <col min="2" max="6" width="14" bestFit="1" customWidth="1"/>
    <col min="7" max="7" width="12.85546875" bestFit="1" customWidth="1"/>
    <col min="8" max="8" width="10.28515625" bestFit="1" customWidth="1"/>
  </cols>
  <sheetData>
    <row r="1" spans="1:7" s="295" customFormat="1" x14ac:dyDescent="0.3">
      <c r="A1" s="333" t="s">
        <v>534</v>
      </c>
      <c r="B1" s="333" t="s">
        <v>362</v>
      </c>
      <c r="C1" s="333" t="s">
        <v>304</v>
      </c>
      <c r="D1" s="333" t="s">
        <v>305</v>
      </c>
      <c r="E1" s="333" t="s">
        <v>306</v>
      </c>
      <c r="F1" s="333" t="s">
        <v>307</v>
      </c>
      <c r="G1" s="333" t="s">
        <v>338</v>
      </c>
    </row>
    <row r="2" spans="1:7" x14ac:dyDescent="0.3">
      <c r="A2" s="332" t="s">
        <v>405</v>
      </c>
      <c r="B2" s="332">
        <v>228201.18549380559</v>
      </c>
      <c r="C2" s="332">
        <v>200017.91437318889</v>
      </c>
      <c r="D2" s="332">
        <v>173982.16231088334</v>
      </c>
      <c r="E2" s="332">
        <v>147749.02079472222</v>
      </c>
      <c r="F2" s="332">
        <v>131448.34717011111</v>
      </c>
      <c r="G2" s="332">
        <v>42176.518878599796</v>
      </c>
    </row>
    <row r="3" spans="1:7" x14ac:dyDescent="0.3">
      <c r="A3" s="332" t="s">
        <v>22</v>
      </c>
      <c r="B3" s="332">
        <v>323185.46168932848</v>
      </c>
      <c r="C3" s="332">
        <v>289036.80697015667</v>
      </c>
      <c r="D3" s="332">
        <v>259146.09448898333</v>
      </c>
      <c r="E3" s="332">
        <v>227224.35027836586</v>
      </c>
      <c r="F3" s="332">
        <v>208476.6262751226</v>
      </c>
      <c r="G3" s="332">
        <v>47436.393672433027</v>
      </c>
    </row>
    <row r="4" spans="1:7" x14ac:dyDescent="0.3">
      <c r="A4" s="332" t="s">
        <v>363</v>
      </c>
      <c r="B4" s="332">
        <v>304522.98691714177</v>
      </c>
      <c r="C4" s="332">
        <v>265752.79647086823</v>
      </c>
      <c r="D4" s="332">
        <v>230686.3096649333</v>
      </c>
      <c r="E4" s="332">
        <v>194516.63450263601</v>
      </c>
      <c r="F4" s="332">
        <v>172483.4343479042</v>
      </c>
      <c r="G4" s="332">
        <v>65569.466327679795</v>
      </c>
    </row>
    <row r="5" spans="1:7" x14ac:dyDescent="0.3">
      <c r="A5" s="332" t="s">
        <v>25</v>
      </c>
      <c r="B5" s="332">
        <v>236340.57029915898</v>
      </c>
      <c r="C5" s="332">
        <v>207276.57552174412</v>
      </c>
      <c r="D5" s="332">
        <v>181514.48208803331</v>
      </c>
      <c r="E5" s="332">
        <v>154380.90825811878</v>
      </c>
      <c r="F5" s="332">
        <v>138253.94755866283</v>
      </c>
      <c r="G5" s="332">
        <v>26752.264001027892</v>
      </c>
    </row>
    <row r="6" spans="1:7" x14ac:dyDescent="0.3">
      <c r="A6" s="332" t="s">
        <v>408</v>
      </c>
      <c r="B6" s="332">
        <v>276503.96882374573</v>
      </c>
      <c r="C6" s="332">
        <v>241592.47591798104</v>
      </c>
      <c r="D6" s="332">
        <v>209703.469855175</v>
      </c>
      <c r="E6" s="332">
        <v>177164.50282762933</v>
      </c>
      <c r="F6" s="332">
        <v>157148.30274831038</v>
      </c>
      <c r="G6" s="332">
        <v>110636.895696616</v>
      </c>
    </row>
    <row r="7" spans="1:7" x14ac:dyDescent="0.3">
      <c r="A7" s="332" t="s">
        <v>32</v>
      </c>
      <c r="B7" s="332">
        <v>238450.82982199904</v>
      </c>
      <c r="C7" s="332">
        <v>208808.45739168461</v>
      </c>
      <c r="D7" s="332">
        <v>181374.00567211665</v>
      </c>
      <c r="E7" s="332">
        <v>153782.49598180651</v>
      </c>
      <c r="F7" s="332">
        <v>136593.95629529117</v>
      </c>
      <c r="G7" s="332">
        <v>51729.464059167942</v>
      </c>
    </row>
    <row r="8" spans="1:7" x14ac:dyDescent="0.3">
      <c r="A8" s="332" t="s">
        <v>35</v>
      </c>
      <c r="B8" s="332">
        <v>255431.41432389029</v>
      </c>
      <c r="C8" s="332">
        <v>223742.73819139521</v>
      </c>
      <c r="D8" s="332">
        <v>195836.98550035834</v>
      </c>
      <c r="E8" s="332">
        <v>166231.4147948458</v>
      </c>
      <c r="F8" s="332">
        <v>148743.702848341</v>
      </c>
      <c r="G8" s="332">
        <v>24524.499820258079</v>
      </c>
    </row>
    <row r="9" spans="1:7" x14ac:dyDescent="0.3">
      <c r="A9" s="332" t="s">
        <v>535</v>
      </c>
      <c r="B9" s="332"/>
      <c r="C9" s="332"/>
      <c r="D9" s="332"/>
      <c r="E9" s="332"/>
      <c r="F9" s="332"/>
      <c r="G9" s="332">
        <v>77482.033763139931</v>
      </c>
    </row>
    <row r="10" spans="1:7" x14ac:dyDescent="0.3">
      <c r="A10" s="332" t="s">
        <v>486</v>
      </c>
      <c r="B10" s="332">
        <v>284051.97158204456</v>
      </c>
      <c r="C10" s="332">
        <v>248470.4496011626</v>
      </c>
      <c r="D10" s="332">
        <v>217206.18551357501</v>
      </c>
      <c r="E10" s="332">
        <v>183950.49603599712</v>
      </c>
      <c r="F10" s="332">
        <v>164330.86944145977</v>
      </c>
      <c r="G10" s="332">
        <v>94681.789339319497</v>
      </c>
    </row>
    <row r="11" spans="1:7" x14ac:dyDescent="0.3">
      <c r="A11" s="332" t="s">
        <v>38</v>
      </c>
      <c r="B11" s="332">
        <v>274999.55488484527</v>
      </c>
      <c r="C11" s="332">
        <v>240432.21060237492</v>
      </c>
      <c r="D11" s="332">
        <v>209394.58693964165</v>
      </c>
      <c r="E11" s="332">
        <v>177137.6027137519</v>
      </c>
      <c r="F11" s="332">
        <v>157661.84284602682</v>
      </c>
      <c r="G11" s="332">
        <v>46756.015914811032</v>
      </c>
    </row>
    <row r="12" spans="1:7" x14ac:dyDescent="0.3">
      <c r="A12" s="332" t="s">
        <v>60</v>
      </c>
      <c r="B12" s="332">
        <v>261145.03897586017</v>
      </c>
      <c r="C12" s="332">
        <v>228642.9924525625</v>
      </c>
      <c r="D12" s="332">
        <v>199957.54003863331</v>
      </c>
      <c r="E12" s="332">
        <v>169594.75223975093</v>
      </c>
      <c r="F12" s="332">
        <v>151612.10278551339</v>
      </c>
      <c r="G12" s="332">
        <v>27845.130797159076</v>
      </c>
    </row>
    <row r="13" spans="1:7" x14ac:dyDescent="0.3">
      <c r="A13" s="332" t="s">
        <v>536</v>
      </c>
      <c r="B13" s="332">
        <v>259682.8965398783</v>
      </c>
      <c r="C13" s="332">
        <v>224565.60192035363</v>
      </c>
      <c r="D13" s="332">
        <v>193580.94077921665</v>
      </c>
      <c r="E13" s="332">
        <v>163476.59190142719</v>
      </c>
      <c r="F13" s="332">
        <v>144034.45156398084</v>
      </c>
      <c r="G13" s="332">
        <v>98050.629425781022</v>
      </c>
    </row>
    <row r="14" spans="1:7" x14ac:dyDescent="0.3">
      <c r="A14" s="332" t="s">
        <v>44</v>
      </c>
      <c r="B14" s="332">
        <v>249404.95401648845</v>
      </c>
      <c r="C14" s="332">
        <v>218351.1762402161</v>
      </c>
      <c r="D14" s="332">
        <v>190160.1894949</v>
      </c>
      <c r="E14" s="332">
        <v>161212.60945467814</v>
      </c>
      <c r="F14" s="332">
        <v>143543.83673849425</v>
      </c>
      <c r="G14" s="332">
        <v>30544.622386318264</v>
      </c>
    </row>
    <row r="15" spans="1:7" x14ac:dyDescent="0.3">
      <c r="A15" s="332" t="s">
        <v>365</v>
      </c>
      <c r="B15" s="332">
        <v>243415.44311207763</v>
      </c>
      <c r="C15" s="332">
        <v>213214.30986914138</v>
      </c>
      <c r="D15" s="332">
        <v>185840.67117815002</v>
      </c>
      <c r="E15" s="332">
        <v>157686.8709736724</v>
      </c>
      <c r="F15" s="332">
        <v>140536.93415941382</v>
      </c>
      <c r="G15" s="332">
        <v>32497.569478476507</v>
      </c>
    </row>
    <row r="16" spans="1:7" x14ac:dyDescent="0.3">
      <c r="A16" s="332" t="s">
        <v>41</v>
      </c>
      <c r="B16" s="332">
        <v>254026.22167400818</v>
      </c>
      <c r="C16" s="332">
        <v>222444.56323358027</v>
      </c>
      <c r="D16" s="332">
        <v>194269.02854040836</v>
      </c>
      <c r="E16" s="332">
        <v>164791.60499264466</v>
      </c>
      <c r="F16" s="332">
        <v>147132.64092452487</v>
      </c>
      <c r="G16" s="332">
        <v>24892.135328399996</v>
      </c>
    </row>
    <row r="17" spans="1:7" x14ac:dyDescent="0.3">
      <c r="A17" s="332" t="s">
        <v>487</v>
      </c>
      <c r="B17" s="332">
        <v>231106.7958404157</v>
      </c>
      <c r="C17" s="332">
        <v>202599.31392105136</v>
      </c>
      <c r="D17" s="332">
        <v>176252.77224456664</v>
      </c>
      <c r="E17" s="332">
        <v>149717.80272797315</v>
      </c>
      <c r="F17" s="332">
        <v>133219.84618462453</v>
      </c>
      <c r="G17" s="332">
        <v>35760.521318349551</v>
      </c>
    </row>
    <row r="18" spans="1:7" x14ac:dyDescent="0.3">
      <c r="A18" s="332" t="s">
        <v>414</v>
      </c>
      <c r="B18" s="332">
        <v>257341.59029712313</v>
      </c>
      <c r="C18" s="332">
        <v>225157.98244861938</v>
      </c>
      <c r="D18" s="332">
        <v>195883.93661460833</v>
      </c>
      <c r="E18" s="332">
        <v>165884.52747786301</v>
      </c>
      <c r="F18" s="332">
        <v>147528.25090558236</v>
      </c>
      <c r="G18" s="332">
        <v>67130.782470209073</v>
      </c>
    </row>
    <row r="19" spans="1:7" x14ac:dyDescent="0.3">
      <c r="A19" s="332" t="s">
        <v>50</v>
      </c>
      <c r="B19" s="332">
        <v>230095.14151097173</v>
      </c>
      <c r="C19" s="332">
        <v>201642.25384399787</v>
      </c>
      <c r="D19" s="332">
        <v>175348.04641024169</v>
      </c>
      <c r="E19" s="332">
        <v>148863.90207929214</v>
      </c>
      <c r="F19" s="332">
        <v>132399.16624759004</v>
      </c>
      <c r="G19" s="332">
        <v>40427.719739346721</v>
      </c>
    </row>
    <row r="20" spans="1:7" x14ac:dyDescent="0.3">
      <c r="A20" s="332" t="s">
        <v>488</v>
      </c>
      <c r="B20" s="332">
        <v>248143.42826279067</v>
      </c>
      <c r="C20" s="332">
        <v>217121.25350700133</v>
      </c>
      <c r="D20" s="332">
        <v>188364.11841589166</v>
      </c>
      <c r="E20" s="332">
        <v>159488.0649087232</v>
      </c>
      <c r="F20" s="332">
        <v>141459.91275062453</v>
      </c>
      <c r="G20" s="332">
        <v>30332.029110911153</v>
      </c>
    </row>
    <row r="21" spans="1:7" x14ac:dyDescent="0.3">
      <c r="A21" s="332" t="s">
        <v>537</v>
      </c>
      <c r="B21" s="332">
        <v>228312.59467128591</v>
      </c>
      <c r="C21" s="332">
        <v>200113.46375382473</v>
      </c>
      <c r="D21" s="332">
        <v>174062.50843437496</v>
      </c>
      <c r="E21" s="332">
        <v>147814.60204675575</v>
      </c>
      <c r="F21" s="332">
        <v>131504.27770408045</v>
      </c>
      <c r="G21" s="332">
        <v>30164.396002855523</v>
      </c>
    </row>
    <row r="22" spans="1:7" x14ac:dyDescent="0.3">
      <c r="A22" s="332" t="s">
        <v>47</v>
      </c>
      <c r="B22" s="332">
        <v>239404.71272278449</v>
      </c>
      <c r="C22" s="332">
        <v>209774.53216625174</v>
      </c>
      <c r="D22" s="332">
        <v>182948.21073245001</v>
      </c>
      <c r="E22" s="332">
        <v>155325.94590046551</v>
      </c>
      <c r="F22" s="332">
        <v>138523.43493651724</v>
      </c>
      <c r="G22" s="332">
        <v>40874.501884959762</v>
      </c>
    </row>
    <row r="23" spans="1:7" x14ac:dyDescent="0.3">
      <c r="A23" s="332" t="s">
        <v>538</v>
      </c>
      <c r="B23" s="332"/>
      <c r="C23" s="332"/>
      <c r="D23" s="332"/>
      <c r="E23" s="332"/>
      <c r="F23" s="332"/>
      <c r="G23" s="332">
        <v>52037.190550384359</v>
      </c>
    </row>
    <row r="24" spans="1:7" x14ac:dyDescent="0.3">
      <c r="A24" s="332" t="s">
        <v>55</v>
      </c>
      <c r="B24" s="332">
        <v>272319.2197760297</v>
      </c>
      <c r="C24" s="332">
        <v>237855.46910497508</v>
      </c>
      <c r="D24" s="332">
        <v>205799.22721358333</v>
      </c>
      <c r="E24" s="332">
        <v>173719.19659999807</v>
      </c>
      <c r="F24" s="332">
        <v>153596.83862197321</v>
      </c>
      <c r="G24" s="332">
        <v>52237.272638642193</v>
      </c>
    </row>
    <row r="25" spans="1:7" x14ac:dyDescent="0.3">
      <c r="A25" s="332" t="s">
        <v>489</v>
      </c>
      <c r="B25" s="332">
        <v>259284.34601082711</v>
      </c>
      <c r="C25" s="332">
        <v>226676.1915705837</v>
      </c>
      <c r="D25" s="332">
        <v>196398.73076505831</v>
      </c>
      <c r="E25" s="332">
        <v>166046.19011207568</v>
      </c>
      <c r="F25" s="332">
        <v>147052.96614755937</v>
      </c>
      <c r="G25" s="332">
        <v>55419.787195078366</v>
      </c>
    </row>
    <row r="26" spans="1:7" x14ac:dyDescent="0.3">
      <c r="A26" s="332" t="s">
        <v>490</v>
      </c>
      <c r="B26" s="332">
        <v>252765.84563231314</v>
      </c>
      <c r="C26" s="332">
        <v>221456.6299615115</v>
      </c>
      <c r="D26" s="332">
        <v>193914.62940624999</v>
      </c>
      <c r="E26" s="332">
        <v>164662.32204927009</v>
      </c>
      <c r="F26" s="332">
        <v>147405.51255178163</v>
      </c>
      <c r="G26" s="332">
        <v>9816.4560626478433</v>
      </c>
    </row>
    <row r="27" spans="1:7" x14ac:dyDescent="0.3">
      <c r="A27" s="332" t="s">
        <v>364</v>
      </c>
      <c r="B27" s="332">
        <v>223726.11471250336</v>
      </c>
      <c r="C27" s="332">
        <v>196179.89805240365</v>
      </c>
      <c r="D27" s="332">
        <v>170754.82864089165</v>
      </c>
      <c r="E27" s="332">
        <v>145114.7607506772</v>
      </c>
      <c r="F27" s="332">
        <v>129201.73603798087</v>
      </c>
      <c r="G27" s="332">
        <v>34896.362632231896</v>
      </c>
    </row>
    <row r="28" spans="1:7" x14ac:dyDescent="0.3">
      <c r="A28" s="332" t="s">
        <v>539</v>
      </c>
      <c r="B28" s="332"/>
      <c r="C28" s="332"/>
      <c r="D28" s="332"/>
      <c r="E28" s="332"/>
      <c r="F28" s="332"/>
      <c r="G28" s="332">
        <v>66411.995650453377</v>
      </c>
    </row>
    <row r="29" spans="1:7" x14ac:dyDescent="0.3">
      <c r="A29" s="332" t="s">
        <v>68</v>
      </c>
      <c r="B29" s="332">
        <v>351737.79469252832</v>
      </c>
      <c r="C29" s="332">
        <v>314448.30542340211</v>
      </c>
      <c r="D29" s="332">
        <v>281173.59352265828</v>
      </c>
      <c r="E29" s="332">
        <v>246353.87746370782</v>
      </c>
      <c r="F29" s="332">
        <v>225458.05953440996</v>
      </c>
      <c r="G29" s="332">
        <v>34632.96385524996</v>
      </c>
    </row>
    <row r="30" spans="1:7" x14ac:dyDescent="0.3">
      <c r="A30" s="332" t="s">
        <v>540</v>
      </c>
      <c r="B30" s="332"/>
      <c r="C30" s="332"/>
      <c r="D30" s="332"/>
      <c r="E30" s="332"/>
      <c r="F30" s="332"/>
      <c r="G30" s="332">
        <v>57776.735302770423</v>
      </c>
    </row>
    <row r="31" spans="1:7" x14ac:dyDescent="0.3">
      <c r="A31" s="332" t="s">
        <v>541</v>
      </c>
      <c r="B31" s="332">
        <v>307531.32252458285</v>
      </c>
      <c r="C31" s="332">
        <v>265602.50364277558</v>
      </c>
      <c r="D31" s="332">
        <v>228088.29134040832</v>
      </c>
      <c r="E31" s="332">
        <v>191642.67080873658</v>
      </c>
      <c r="F31" s="332">
        <v>168055.70434981227</v>
      </c>
      <c r="G31" s="332">
        <v>133553.23295022084</v>
      </c>
    </row>
    <row r="32" spans="1:7" x14ac:dyDescent="0.3">
      <c r="A32" s="332" t="s">
        <v>409</v>
      </c>
      <c r="B32" s="332">
        <v>234885.7361426274</v>
      </c>
      <c r="C32" s="332">
        <v>205750.87721133835</v>
      </c>
      <c r="D32" s="332">
        <v>178802.92972038331</v>
      </c>
      <c r="E32" s="332">
        <v>151683.89591673372</v>
      </c>
      <c r="F32" s="332">
        <v>134804.17920827205</v>
      </c>
      <c r="G32" s="332">
        <v>66638.779298065798</v>
      </c>
    </row>
    <row r="33" spans="1:7" x14ac:dyDescent="0.3">
      <c r="A33" s="332" t="s">
        <v>389</v>
      </c>
      <c r="B33" s="332">
        <v>275167.05869398132</v>
      </c>
      <c r="C33" s="332">
        <v>240445.88335035113</v>
      </c>
      <c r="D33" s="332">
        <v>208739.31637327501</v>
      </c>
      <c r="E33" s="332">
        <v>176377.52780322699</v>
      </c>
      <c r="F33" s="332">
        <v>156477.13634067815</v>
      </c>
      <c r="G33" s="332">
        <v>55767.30659313561</v>
      </c>
    </row>
    <row r="34" spans="1:7" x14ac:dyDescent="0.3">
      <c r="A34" s="332" t="s">
        <v>542</v>
      </c>
      <c r="B34" s="332"/>
      <c r="C34" s="332"/>
      <c r="D34" s="332"/>
      <c r="E34" s="332"/>
      <c r="F34" s="332"/>
      <c r="G34" s="332"/>
    </row>
    <row r="35" spans="1:7" x14ac:dyDescent="0.3">
      <c r="A35" s="332" t="s">
        <v>369</v>
      </c>
      <c r="B35" s="332">
        <v>265689.15294948564</v>
      </c>
      <c r="C35" s="332">
        <v>232447.2029170701</v>
      </c>
      <c r="D35" s="332">
        <v>202680.10685305001</v>
      </c>
      <c r="E35" s="332">
        <v>171657.01458209768</v>
      </c>
      <c r="F35" s="332">
        <v>152987.75976336782</v>
      </c>
      <c r="G35" s="332">
        <v>32205.238530541152</v>
      </c>
    </row>
    <row r="36" spans="1:7" x14ac:dyDescent="0.3">
      <c r="A36" s="332" t="s">
        <v>543</v>
      </c>
      <c r="B36" s="332"/>
      <c r="C36" s="332"/>
      <c r="D36" s="332"/>
      <c r="E36" s="332"/>
      <c r="F36" s="332"/>
      <c r="G36" s="332">
        <v>61822.93288371103</v>
      </c>
    </row>
    <row r="37" spans="1:7" x14ac:dyDescent="0.3">
      <c r="A37" s="332" t="s">
        <v>65</v>
      </c>
      <c r="B37" s="332">
        <v>250099.99376089941</v>
      </c>
      <c r="C37" s="332">
        <v>218947.2727072908</v>
      </c>
      <c r="D37" s="332">
        <v>190661.43858764999</v>
      </c>
      <c r="E37" s="332">
        <v>161621.74609568392</v>
      </c>
      <c r="F37" s="332">
        <v>143892.7661975747</v>
      </c>
      <c r="G37" s="332">
        <v>32553.84630760947</v>
      </c>
    </row>
    <row r="38" spans="1:7" x14ac:dyDescent="0.3">
      <c r="A38" s="332" t="s">
        <v>370</v>
      </c>
      <c r="B38" s="332">
        <v>337306.21430621989</v>
      </c>
      <c r="C38" s="332">
        <v>303435.61017586722</v>
      </c>
      <c r="D38" s="332">
        <v>273065.88407822506</v>
      </c>
      <c r="E38" s="332">
        <v>241457.53860140513</v>
      </c>
      <c r="F38" s="332">
        <v>222405.74650817242</v>
      </c>
      <c r="G38" s="332">
        <v>45522.784510673177</v>
      </c>
    </row>
    <row r="39" spans="1:7" x14ac:dyDescent="0.3">
      <c r="A39" s="332" t="s">
        <v>368</v>
      </c>
      <c r="B39" s="332">
        <v>269132.28404712933</v>
      </c>
      <c r="C39" s="332">
        <v>235122.21371336892</v>
      </c>
      <c r="D39" s="332">
        <v>203500.87139204997</v>
      </c>
      <c r="E39" s="332">
        <v>171843.2000261207</v>
      </c>
      <c r="F39" s="332">
        <v>151996.90743968965</v>
      </c>
      <c r="G39" s="332">
        <v>40692.282708027327</v>
      </c>
    </row>
    <row r="40" spans="1:7" x14ac:dyDescent="0.3">
      <c r="A40" s="332" t="s">
        <v>77</v>
      </c>
      <c r="B40" s="332">
        <v>243749.67064451869</v>
      </c>
      <c r="C40" s="332">
        <v>213500.95801104882</v>
      </c>
      <c r="D40" s="332">
        <v>186081.70954862502</v>
      </c>
      <c r="E40" s="332">
        <v>157883.61472977299</v>
      </c>
      <c r="F40" s="332">
        <v>140704.72576132181</v>
      </c>
      <c r="G40" s="332">
        <v>52682.045847801521</v>
      </c>
    </row>
    <row r="41" spans="1:7" x14ac:dyDescent="0.3">
      <c r="A41" s="332" t="s">
        <v>367</v>
      </c>
      <c r="B41" s="332">
        <v>260556.23648798704</v>
      </c>
      <c r="C41" s="332">
        <v>228138.00970064313</v>
      </c>
      <c r="D41" s="332">
        <v>199532.90718097502</v>
      </c>
      <c r="E41" s="332">
        <v>169248.15238838791</v>
      </c>
      <c r="F41" s="332">
        <v>151316.50741093105</v>
      </c>
      <c r="G41" s="332">
        <v>27455.7642778347</v>
      </c>
    </row>
    <row r="42" spans="1:7" x14ac:dyDescent="0.3">
      <c r="A42" s="332" t="s">
        <v>491</v>
      </c>
      <c r="B42" s="332">
        <v>253051.94692121365</v>
      </c>
      <c r="C42" s="332">
        <v>221608.98261711758</v>
      </c>
      <c r="D42" s="332">
        <v>193566.40061178332</v>
      </c>
      <c r="E42" s="332">
        <v>164218.0960631475</v>
      </c>
      <c r="F42" s="332">
        <v>146643.52765406514</v>
      </c>
      <c r="G42" s="332">
        <v>37085.155477362183</v>
      </c>
    </row>
    <row r="43" spans="1:7" x14ac:dyDescent="0.3">
      <c r="A43" s="332" t="s">
        <v>421</v>
      </c>
      <c r="B43" s="332">
        <v>231543.46081821647</v>
      </c>
      <c r="C43" s="332">
        <v>202884.39579226356</v>
      </c>
      <c r="D43" s="332">
        <v>176392.54601563333</v>
      </c>
      <c r="E43" s="332">
        <v>149716.45835572798</v>
      </c>
      <c r="F43" s="332">
        <v>133126.26318919155</v>
      </c>
      <c r="G43" s="332">
        <v>37799.285821894096</v>
      </c>
    </row>
    <row r="44" spans="1:7" x14ac:dyDescent="0.3">
      <c r="A44" s="332" t="s">
        <v>492</v>
      </c>
      <c r="B44" s="332">
        <v>255893.27098987831</v>
      </c>
      <c r="C44" s="332">
        <v>223915.8405003536</v>
      </c>
      <c r="D44" s="332">
        <v>194839.43700921666</v>
      </c>
      <c r="E44" s="332">
        <v>165031.97120142719</v>
      </c>
      <c r="F44" s="332">
        <v>146801.15396398082</v>
      </c>
      <c r="G44" s="332">
        <v>23449.133432081187</v>
      </c>
    </row>
    <row r="45" spans="1:7" x14ac:dyDescent="0.3">
      <c r="A45" s="332" t="s">
        <v>493</v>
      </c>
      <c r="B45" s="332">
        <v>244712.74600908047</v>
      </c>
      <c r="C45" s="332">
        <v>214416.35464428732</v>
      </c>
      <c r="D45" s="332">
        <v>186951.40118199997</v>
      </c>
      <c r="E45" s="332">
        <v>158708.91926625287</v>
      </c>
      <c r="F45" s="332">
        <v>141501.01769454026</v>
      </c>
      <c r="G45" s="332">
        <v>71541.182934722921</v>
      </c>
    </row>
    <row r="46" spans="1:7" x14ac:dyDescent="0.3">
      <c r="A46" s="332" t="s">
        <v>544</v>
      </c>
      <c r="B46" s="332"/>
      <c r="C46" s="332"/>
      <c r="D46" s="332"/>
      <c r="E46" s="332"/>
      <c r="F46" s="332"/>
      <c r="G46" s="332">
        <v>39011.366322640803</v>
      </c>
    </row>
    <row r="47" spans="1:7" x14ac:dyDescent="0.3">
      <c r="A47" s="332" t="s">
        <v>545</v>
      </c>
      <c r="B47" s="332"/>
      <c r="C47" s="332"/>
      <c r="D47" s="332"/>
      <c r="E47" s="332"/>
      <c r="F47" s="332"/>
      <c r="G47" s="332">
        <v>78114.436315387269</v>
      </c>
    </row>
    <row r="48" spans="1:7" x14ac:dyDescent="0.3">
      <c r="A48" s="332" t="s">
        <v>546</v>
      </c>
      <c r="B48" s="332">
        <v>245219.89624223471</v>
      </c>
      <c r="C48" s="332">
        <v>212161.50064405482</v>
      </c>
      <c r="D48" s="332">
        <v>183150.50736021667</v>
      </c>
      <c r="E48" s="332">
        <v>154962.91565740423</v>
      </c>
      <c r="F48" s="332">
        <v>136773.61948765902</v>
      </c>
      <c r="G48" s="332">
        <v>80270.291214487166</v>
      </c>
    </row>
    <row r="49" spans="1:7" x14ac:dyDescent="0.3">
      <c r="A49" s="332" t="s">
        <v>88</v>
      </c>
      <c r="B49" s="332">
        <v>255948.58553570302</v>
      </c>
      <c r="C49" s="332">
        <v>224093.266513649</v>
      </c>
      <c r="D49" s="332">
        <v>195655.39982256669</v>
      </c>
      <c r="E49" s="332">
        <v>165923.20861601917</v>
      </c>
      <c r="F49" s="332">
        <v>148097.7215372682</v>
      </c>
      <c r="G49" s="332">
        <v>32406.741603183189</v>
      </c>
    </row>
    <row r="50" spans="1:7" x14ac:dyDescent="0.3">
      <c r="A50" s="332" t="s">
        <v>547</v>
      </c>
      <c r="B50" s="332">
        <v>276435.87188464892</v>
      </c>
      <c r="C50" s="332">
        <v>238933.68589873312</v>
      </c>
      <c r="D50" s="332">
        <v>205662.85948955832</v>
      </c>
      <c r="E50" s="332">
        <v>173338.26688408715</v>
      </c>
      <c r="F50" s="332">
        <v>152444.91538572029</v>
      </c>
      <c r="G50" s="332">
        <v>87661.354686594364</v>
      </c>
    </row>
    <row r="51" spans="1:7" x14ac:dyDescent="0.3">
      <c r="A51" s="332" t="s">
        <v>91</v>
      </c>
      <c r="B51" s="332">
        <v>238562.23899947939</v>
      </c>
      <c r="C51" s="332">
        <v>208904.00677232048</v>
      </c>
      <c r="D51" s="332">
        <v>181454.35179560832</v>
      </c>
      <c r="E51" s="332">
        <v>153848.07723384001</v>
      </c>
      <c r="F51" s="332">
        <v>136649.88682926053</v>
      </c>
      <c r="G51" s="332">
        <v>32914.576791087282</v>
      </c>
    </row>
    <row r="52" spans="1:7" x14ac:dyDescent="0.3">
      <c r="A52" s="332" t="s">
        <v>402</v>
      </c>
      <c r="B52" s="332">
        <v>258185.32779695984</v>
      </c>
      <c r="C52" s="332">
        <v>226196.66408095628</v>
      </c>
      <c r="D52" s="332">
        <v>198376.52658709994</v>
      </c>
      <c r="E52" s="332">
        <v>168465.65236587354</v>
      </c>
      <c r="F52" s="332">
        <v>151032.28720322988</v>
      </c>
      <c r="G52" s="332">
        <v>24116.626888388731</v>
      </c>
    </row>
    <row r="53" spans="1:7" x14ac:dyDescent="0.3">
      <c r="A53" s="332" t="s">
        <v>96</v>
      </c>
      <c r="B53" s="332">
        <v>227309.91207396262</v>
      </c>
      <c r="C53" s="332">
        <v>199253.51932810232</v>
      </c>
      <c r="D53" s="332">
        <v>173339.39332294997</v>
      </c>
      <c r="E53" s="332">
        <v>147224.37077845406</v>
      </c>
      <c r="F53" s="332">
        <v>131000.9028983563</v>
      </c>
      <c r="G53" s="332">
        <v>49809.399761184693</v>
      </c>
    </row>
    <row r="54" spans="1:7" x14ac:dyDescent="0.3">
      <c r="A54" s="332" t="s">
        <v>99</v>
      </c>
      <c r="B54" s="332">
        <v>230429.36904341285</v>
      </c>
      <c r="C54" s="332">
        <v>201928.9019859054</v>
      </c>
      <c r="D54" s="332">
        <v>175589.08478071666</v>
      </c>
      <c r="E54" s="332">
        <v>149060.6458353927</v>
      </c>
      <c r="F54" s="332">
        <v>132566.95784949808</v>
      </c>
      <c r="G54" s="332">
        <v>26649.981196684108</v>
      </c>
    </row>
    <row r="55" spans="1:7" x14ac:dyDescent="0.3">
      <c r="A55" s="332" t="s">
        <v>106</v>
      </c>
      <c r="B55" s="332">
        <v>266421.04821885726</v>
      </c>
      <c r="C55" s="332">
        <v>233074.90829341649</v>
      </c>
      <c r="D55" s="332">
        <v>203207.93543078331</v>
      </c>
      <c r="E55" s="332">
        <v>172087.84630717052</v>
      </c>
      <c r="F55" s="332">
        <v>153355.19173038699</v>
      </c>
      <c r="G55" s="332">
        <v>19913.578228393872</v>
      </c>
    </row>
    <row r="56" spans="1:7" x14ac:dyDescent="0.3">
      <c r="A56" s="332" t="s">
        <v>548</v>
      </c>
      <c r="B56" s="332">
        <v>254620.84643570308</v>
      </c>
      <c r="C56" s="332">
        <v>220224.16647364903</v>
      </c>
      <c r="D56" s="332">
        <v>189930.28908256665</v>
      </c>
      <c r="E56" s="332">
        <v>160496.80521601916</v>
      </c>
      <c r="F56" s="332">
        <v>141493.16033726817</v>
      </c>
      <c r="G56" s="332">
        <v>79857.567859082264</v>
      </c>
    </row>
    <row r="57" spans="1:7" x14ac:dyDescent="0.3">
      <c r="A57" s="332" t="s">
        <v>494</v>
      </c>
      <c r="B57" s="332">
        <v>252078.14627199905</v>
      </c>
      <c r="C57" s="332">
        <v>220585.26077168461</v>
      </c>
      <c r="D57" s="332">
        <v>191376.90070211666</v>
      </c>
      <c r="E57" s="332">
        <v>162062.63328180654</v>
      </c>
      <c r="F57" s="332">
        <v>143748.05269529115</v>
      </c>
      <c r="G57" s="332">
        <v>29786.409952619921</v>
      </c>
    </row>
    <row r="58" spans="1:7" x14ac:dyDescent="0.3">
      <c r="A58" s="332" t="s">
        <v>109</v>
      </c>
      <c r="B58" s="332">
        <v>252667.43356424378</v>
      </c>
      <c r="C58" s="332">
        <v>221279.20715395041</v>
      </c>
      <c r="D58" s="332">
        <v>193289.09708650832</v>
      </c>
      <c r="E58" s="332">
        <v>163991.75144824234</v>
      </c>
      <c r="F58" s="332">
        <v>146450.49115689271</v>
      </c>
      <c r="G58" s="332">
        <v>21842.570161273077</v>
      </c>
    </row>
    <row r="59" spans="1:7" x14ac:dyDescent="0.3">
      <c r="A59" s="332" t="s">
        <v>549</v>
      </c>
      <c r="B59" s="332"/>
      <c r="C59" s="332"/>
      <c r="D59" s="332"/>
      <c r="E59" s="332"/>
      <c r="F59" s="332"/>
      <c r="G59" s="332">
        <v>68603.519149767351</v>
      </c>
    </row>
    <row r="60" spans="1:7" x14ac:dyDescent="0.3">
      <c r="A60" s="332" t="s">
        <v>391</v>
      </c>
      <c r="B60" s="332">
        <v>241075.85038498996</v>
      </c>
      <c r="C60" s="332">
        <v>211207.77287578909</v>
      </c>
      <c r="D60" s="332">
        <v>184153.40258482497</v>
      </c>
      <c r="E60" s="332">
        <v>156309.66468096842</v>
      </c>
      <c r="F60" s="332">
        <v>139362.39294605746</v>
      </c>
      <c r="G60" s="332">
        <v>28000.079623063273</v>
      </c>
    </row>
    <row r="61" spans="1:7" x14ac:dyDescent="0.3">
      <c r="A61" s="332" t="s">
        <v>550</v>
      </c>
      <c r="B61" s="332"/>
      <c r="C61" s="332"/>
      <c r="D61" s="332"/>
      <c r="E61" s="332"/>
      <c r="F61" s="332"/>
      <c r="G61" s="332">
        <v>81709.767356732846</v>
      </c>
    </row>
    <row r="62" spans="1:7" x14ac:dyDescent="0.3">
      <c r="A62" s="332" t="s">
        <v>551</v>
      </c>
      <c r="B62" s="332"/>
      <c r="C62" s="332"/>
      <c r="D62" s="332"/>
      <c r="E62" s="332"/>
      <c r="F62" s="332"/>
      <c r="G62" s="332">
        <v>80072.32449640242</v>
      </c>
    </row>
    <row r="63" spans="1:7" x14ac:dyDescent="0.3">
      <c r="A63" s="332" t="s">
        <v>552</v>
      </c>
      <c r="B63" s="332"/>
      <c r="C63" s="332"/>
      <c r="D63" s="332"/>
      <c r="E63" s="332"/>
      <c r="F63" s="332"/>
      <c r="G63" s="332">
        <v>18454.026025826312</v>
      </c>
    </row>
    <row r="64" spans="1:7" x14ac:dyDescent="0.3">
      <c r="A64" s="332" t="s">
        <v>114</v>
      </c>
      <c r="B64" s="332">
        <v>246806.51813302637</v>
      </c>
      <c r="C64" s="332">
        <v>215974.66093937148</v>
      </c>
      <c r="D64" s="332">
        <v>187399.96493399164</v>
      </c>
      <c r="E64" s="332">
        <v>158701.08988432086</v>
      </c>
      <c r="F64" s="332">
        <v>140788.74634299232</v>
      </c>
      <c r="G64" s="332">
        <v>38380.946098417298</v>
      </c>
    </row>
    <row r="65" spans="1:7" x14ac:dyDescent="0.3">
      <c r="A65" s="332" t="s">
        <v>553</v>
      </c>
      <c r="B65" s="332"/>
      <c r="C65" s="332"/>
      <c r="D65" s="332"/>
      <c r="E65" s="332"/>
      <c r="F65" s="332"/>
      <c r="G65" s="332">
        <v>75189.850573703021</v>
      </c>
    </row>
    <row r="66" spans="1:7" x14ac:dyDescent="0.3">
      <c r="A66" s="332" t="s">
        <v>119</v>
      </c>
      <c r="B66" s="332">
        <v>250516.01905711688</v>
      </c>
      <c r="C66" s="332">
        <v>219434.06002786974</v>
      </c>
      <c r="D66" s="332">
        <v>191737.53895116664</v>
      </c>
      <c r="E66" s="332">
        <v>162725.31666960535</v>
      </c>
      <c r="F66" s="332">
        <v>145370.4206914751</v>
      </c>
      <c r="G66" s="332">
        <v>33064.826071684729</v>
      </c>
    </row>
    <row r="67" spans="1:7" x14ac:dyDescent="0.3">
      <c r="A67" s="332" t="s">
        <v>122</v>
      </c>
      <c r="B67" s="332">
        <v>245420.80830672412</v>
      </c>
      <c r="C67" s="332">
        <v>214934.19872058622</v>
      </c>
      <c r="D67" s="332">
        <v>187286.90140099998</v>
      </c>
      <c r="E67" s="332">
        <v>158867.33351027584</v>
      </c>
      <c r="F67" s="332">
        <v>141543.68377086206</v>
      </c>
      <c r="G67" s="332">
        <v>18618.772119243207</v>
      </c>
    </row>
    <row r="68" spans="1:7" x14ac:dyDescent="0.3">
      <c r="A68" s="332" t="s">
        <v>373</v>
      </c>
      <c r="B68" s="332">
        <v>280763.59718220157</v>
      </c>
      <c r="C68" s="332">
        <v>247698.95984407605</v>
      </c>
      <c r="D68" s="332">
        <v>218101.83635364164</v>
      </c>
      <c r="E68" s="332">
        <v>187243.81549972892</v>
      </c>
      <c r="F68" s="332">
        <v>168682.45580970496</v>
      </c>
      <c r="G68" s="332">
        <v>22874.690309261048</v>
      </c>
    </row>
    <row r="69" spans="1:7" x14ac:dyDescent="0.3">
      <c r="A69" s="332" t="s">
        <v>372</v>
      </c>
      <c r="B69" s="332">
        <v>243025.12094798085</v>
      </c>
      <c r="C69" s="332">
        <v>213009.53835989349</v>
      </c>
      <c r="D69" s="332">
        <v>186335.24949753334</v>
      </c>
      <c r="E69" s="332">
        <v>158315.78338013025</v>
      </c>
      <c r="F69" s="332">
        <v>141609.7795968237</v>
      </c>
      <c r="G69" s="332">
        <v>12718.060107255078</v>
      </c>
    </row>
    <row r="70" spans="1:7" x14ac:dyDescent="0.3">
      <c r="A70" s="332" t="s">
        <v>374</v>
      </c>
      <c r="B70" s="332">
        <v>275396.64385397511</v>
      </c>
      <c r="C70" s="332">
        <v>240957.84108960151</v>
      </c>
      <c r="D70" s="332">
        <v>210788.99166983334</v>
      </c>
      <c r="E70" s="332">
        <v>178597.13059496935</v>
      </c>
      <c r="F70" s="332">
        <v>159672.85092657089</v>
      </c>
      <c r="G70" s="332">
        <v>38181.915199556141</v>
      </c>
    </row>
    <row r="71" spans="1:7" x14ac:dyDescent="0.3">
      <c r="A71" s="332" t="s">
        <v>371</v>
      </c>
      <c r="B71" s="332">
        <v>270656.55574421078</v>
      </c>
      <c r="C71" s="332">
        <v>236800.48500997163</v>
      </c>
      <c r="D71" s="332">
        <v>206817.06021593331</v>
      </c>
      <c r="E71" s="332">
        <v>175193.72705056705</v>
      </c>
      <c r="F71" s="332">
        <v>156387.15115893868</v>
      </c>
      <c r="G71" s="332">
        <v>32080.992794717265</v>
      </c>
    </row>
    <row r="72" spans="1:7" x14ac:dyDescent="0.3">
      <c r="A72" s="332" t="s">
        <v>554</v>
      </c>
      <c r="B72" s="332">
        <v>263803.77116534341</v>
      </c>
      <c r="C72" s="332">
        <v>231104.70781434423</v>
      </c>
      <c r="D72" s="332">
        <v>202603.57872697501</v>
      </c>
      <c r="E72" s="332">
        <v>172031.34929436495</v>
      </c>
      <c r="F72" s="332">
        <v>154165.70453460919</v>
      </c>
      <c r="G72" s="332">
        <v>70120.159738578295</v>
      </c>
    </row>
    <row r="73" spans="1:7" x14ac:dyDescent="0.3">
      <c r="A73" s="332" t="s">
        <v>411</v>
      </c>
      <c r="B73" s="332">
        <v>244418.12570940083</v>
      </c>
      <c r="C73" s="332">
        <v>214074.25429486379</v>
      </c>
      <c r="D73" s="332">
        <v>186563.78628957501</v>
      </c>
      <c r="E73" s="332">
        <v>158277.10224197412</v>
      </c>
      <c r="F73" s="332">
        <v>141040.30896513793</v>
      </c>
      <c r="G73" s="332">
        <v>44753.558613796951</v>
      </c>
    </row>
    <row r="74" spans="1:7" x14ac:dyDescent="0.3">
      <c r="A74" s="332" t="s">
        <v>130</v>
      </c>
      <c r="B74" s="332">
        <v>246255.98709491146</v>
      </c>
      <c r="C74" s="332">
        <v>215780.47039833234</v>
      </c>
      <c r="D74" s="332">
        <v>188665.28707879165</v>
      </c>
      <c r="E74" s="332">
        <v>160217.63968910248</v>
      </c>
      <c r="F74" s="332">
        <v>143231.76508193483</v>
      </c>
      <c r="G74" s="332">
        <v>22547.200789667266</v>
      </c>
    </row>
    <row r="75" spans="1:7" x14ac:dyDescent="0.3">
      <c r="A75" s="332" t="s">
        <v>413</v>
      </c>
      <c r="B75" s="332">
        <v>228535.41302624662</v>
      </c>
      <c r="C75" s="332">
        <v>200304.56251509636</v>
      </c>
      <c r="D75" s="332">
        <v>174223.20068135834</v>
      </c>
      <c r="E75" s="332">
        <v>147945.76455082279</v>
      </c>
      <c r="F75" s="332">
        <v>131616.13877201916</v>
      </c>
      <c r="G75" s="332">
        <v>32703.611855020761</v>
      </c>
    </row>
    <row r="76" spans="1:7" x14ac:dyDescent="0.3">
      <c r="A76" s="332" t="s">
        <v>495</v>
      </c>
      <c r="B76" s="332">
        <v>253379.6596043678</v>
      </c>
      <c r="C76" s="332">
        <v>221612.07439688506</v>
      </c>
      <c r="D76" s="332">
        <v>192140.38622000001</v>
      </c>
      <c r="E76" s="332">
        <v>162570.38375429885</v>
      </c>
      <c r="F76" s="332">
        <v>144088.64784718392</v>
      </c>
      <c r="G76" s="332">
        <v>44605.815307054276</v>
      </c>
    </row>
    <row r="77" spans="1:7" x14ac:dyDescent="0.3">
      <c r="A77" s="332" t="s">
        <v>555</v>
      </c>
      <c r="B77" s="332"/>
      <c r="C77" s="332"/>
      <c r="D77" s="332"/>
      <c r="E77" s="332"/>
      <c r="F77" s="332"/>
      <c r="G77" s="332">
        <v>31104.354748519774</v>
      </c>
    </row>
    <row r="78" spans="1:7" x14ac:dyDescent="0.3">
      <c r="A78" s="332" t="s">
        <v>412</v>
      </c>
      <c r="B78" s="332">
        <v>311305.97393523174</v>
      </c>
      <c r="C78" s="332">
        <v>278288.10866490885</v>
      </c>
      <c r="D78" s="332">
        <v>249108.19058236663</v>
      </c>
      <c r="E78" s="332">
        <v>218265.19502482377</v>
      </c>
      <c r="F78" s="332">
        <v>199968.6688325326</v>
      </c>
      <c r="G78" s="332">
        <v>33041.219247136047</v>
      </c>
    </row>
    <row r="79" spans="1:7" x14ac:dyDescent="0.3">
      <c r="A79" s="332" t="s">
        <v>556</v>
      </c>
      <c r="B79" s="332"/>
      <c r="C79" s="332"/>
      <c r="D79" s="332"/>
      <c r="E79" s="332"/>
      <c r="F79" s="332"/>
      <c r="G79" s="332">
        <v>33285.391869478284</v>
      </c>
    </row>
    <row r="80" spans="1:7" x14ac:dyDescent="0.3">
      <c r="A80" s="332" t="s">
        <v>392</v>
      </c>
      <c r="B80" s="332">
        <v>242412.76051475425</v>
      </c>
      <c r="C80" s="332">
        <v>212354.36544341897</v>
      </c>
      <c r="D80" s="332">
        <v>185117.556066725</v>
      </c>
      <c r="E80" s="332">
        <v>157096.63970537068</v>
      </c>
      <c r="F80" s="332">
        <v>140033.55935368966</v>
      </c>
      <c r="G80" s="332">
        <v>28800.580930888627</v>
      </c>
    </row>
    <row r="81" spans="1:7" x14ac:dyDescent="0.3">
      <c r="A81" s="332" t="s">
        <v>557</v>
      </c>
      <c r="B81" s="332"/>
      <c r="C81" s="332"/>
      <c r="D81" s="332"/>
      <c r="E81" s="332"/>
      <c r="F81" s="332"/>
      <c r="G81" s="332">
        <v>21795.113519954175</v>
      </c>
    </row>
    <row r="82" spans="1:7" x14ac:dyDescent="0.3">
      <c r="A82" s="332" t="s">
        <v>137</v>
      </c>
      <c r="B82" s="332">
        <v>243415.44311207763</v>
      </c>
      <c r="C82" s="332">
        <v>213214.30986914138</v>
      </c>
      <c r="D82" s="332">
        <v>185840.67117815002</v>
      </c>
      <c r="E82" s="332">
        <v>157686.8709736724</v>
      </c>
      <c r="F82" s="332">
        <v>140536.93415941382</v>
      </c>
      <c r="G82" s="332">
        <v>25133.114436219428</v>
      </c>
    </row>
    <row r="83" spans="1:7" x14ac:dyDescent="0.3">
      <c r="A83" s="332" t="s">
        <v>558</v>
      </c>
      <c r="B83" s="332"/>
      <c r="C83" s="332"/>
      <c r="D83" s="332"/>
      <c r="E83" s="332"/>
      <c r="F83" s="332"/>
      <c r="G83" s="332">
        <v>42246.573822276638</v>
      </c>
    </row>
    <row r="84" spans="1:7" x14ac:dyDescent="0.3">
      <c r="A84" s="332" t="s">
        <v>393</v>
      </c>
      <c r="B84" s="332">
        <v>265236.22357956413</v>
      </c>
      <c r="C84" s="332">
        <v>232058.75089052678</v>
      </c>
      <c r="D84" s="332">
        <v>202353.46303508335</v>
      </c>
      <c r="E84" s="332">
        <v>171390.39673396363</v>
      </c>
      <c r="F84" s="332">
        <v>152760.37650749041</v>
      </c>
      <c r="G84" s="332">
        <v>43079.280304644744</v>
      </c>
    </row>
    <row r="85" spans="1:7" x14ac:dyDescent="0.3">
      <c r="A85" s="332" t="s">
        <v>144</v>
      </c>
      <c r="B85" s="332">
        <v>317281.15978377254</v>
      </c>
      <c r="C85" s="332">
        <v>285117.61931321013</v>
      </c>
      <c r="D85" s="332">
        <v>256756.65999430831</v>
      </c>
      <c r="E85" s="332">
        <v>226709.00853704693</v>
      </c>
      <c r="F85" s="332">
        <v>208932.3406921571</v>
      </c>
      <c r="G85" s="332">
        <v>46118.33340143133</v>
      </c>
    </row>
    <row r="86" spans="1:7" x14ac:dyDescent="0.3">
      <c r="A86" s="332" t="s">
        <v>147</v>
      </c>
      <c r="B86" s="332">
        <v>265418.365621534</v>
      </c>
      <c r="C86" s="332">
        <v>232214.96386769405</v>
      </c>
      <c r="D86" s="332">
        <v>202484.82031935832</v>
      </c>
      <c r="E86" s="332">
        <v>171497.6150388688</v>
      </c>
      <c r="F86" s="332">
        <v>152851.81692466285</v>
      </c>
      <c r="G86" s="332">
        <v>57565.477673975554</v>
      </c>
    </row>
    <row r="87" spans="1:7" x14ac:dyDescent="0.3">
      <c r="A87" s="332" t="s">
        <v>559</v>
      </c>
      <c r="B87" s="332"/>
      <c r="C87" s="332"/>
      <c r="D87" s="332"/>
      <c r="E87" s="332"/>
      <c r="F87" s="332"/>
      <c r="G87" s="332">
        <v>66922.451768697705</v>
      </c>
    </row>
    <row r="88" spans="1:7" x14ac:dyDescent="0.3">
      <c r="A88" s="332" t="s">
        <v>560</v>
      </c>
      <c r="B88" s="332"/>
      <c r="C88" s="332"/>
      <c r="D88" s="332"/>
      <c r="E88" s="332"/>
      <c r="F88" s="332"/>
      <c r="G88" s="332">
        <v>91074.72398041001</v>
      </c>
    </row>
    <row r="89" spans="1:7" x14ac:dyDescent="0.3">
      <c r="A89" s="332" t="s">
        <v>561</v>
      </c>
      <c r="B89" s="332">
        <v>287667.72165645548</v>
      </c>
      <c r="C89" s="332">
        <v>251571.47492023735</v>
      </c>
      <c r="D89" s="332">
        <v>219813.79386832495</v>
      </c>
      <c r="E89" s="332">
        <v>186078.91509700287</v>
      </c>
      <c r="F89" s="332">
        <v>166146.07746054023</v>
      </c>
      <c r="G89" s="332">
        <v>96604.447959213139</v>
      </c>
    </row>
    <row r="90" spans="1:7" x14ac:dyDescent="0.3">
      <c r="A90" s="332" t="s">
        <v>150</v>
      </c>
      <c r="B90" s="332">
        <v>244863.76241932233</v>
      </c>
      <c r="C90" s="332">
        <v>214456.45181740704</v>
      </c>
      <c r="D90" s="332">
        <v>186885.17078354169</v>
      </c>
      <c r="E90" s="332">
        <v>158539.42725010825</v>
      </c>
      <c r="F90" s="332">
        <v>141264.03110101537</v>
      </c>
      <c r="G90" s="332">
        <v>29580.726789878645</v>
      </c>
    </row>
    <row r="91" spans="1:7" x14ac:dyDescent="0.3">
      <c r="A91" s="332" t="s">
        <v>153</v>
      </c>
      <c r="B91" s="332">
        <v>245246.78964830126</v>
      </c>
      <c r="C91" s="332">
        <v>214636.96961046994</v>
      </c>
      <c r="D91" s="332">
        <v>186275.11920510832</v>
      </c>
      <c r="E91" s="332">
        <v>157782.95235585151</v>
      </c>
      <c r="F91" s="332">
        <v>140005.71886742144</v>
      </c>
      <c r="G91" s="332">
        <v>37093.271048466464</v>
      </c>
    </row>
    <row r="92" spans="1:7" x14ac:dyDescent="0.3">
      <c r="A92" s="332" t="s">
        <v>562</v>
      </c>
      <c r="B92" s="332">
        <v>283908.42203843157</v>
      </c>
      <c r="C92" s="332">
        <v>245342.47155815421</v>
      </c>
      <c r="D92" s="332">
        <v>211051.91675604164</v>
      </c>
      <c r="E92" s="332">
        <v>177736.99961016572</v>
      </c>
      <c r="F92" s="332">
        <v>156196.34529181992</v>
      </c>
      <c r="G92" s="332">
        <v>106015.09125694293</v>
      </c>
    </row>
    <row r="93" spans="1:7" x14ac:dyDescent="0.3">
      <c r="A93" s="332" t="s">
        <v>156</v>
      </c>
      <c r="B93" s="332">
        <v>239850.34943270596</v>
      </c>
      <c r="C93" s="332">
        <v>210156.72968879502</v>
      </c>
      <c r="D93" s="332">
        <v>183269.59522641666</v>
      </c>
      <c r="E93" s="332">
        <v>155588.2709085996</v>
      </c>
      <c r="F93" s="332">
        <v>138747.15707239462</v>
      </c>
      <c r="G93" s="332">
        <v>34246.701223102711</v>
      </c>
    </row>
    <row r="94" spans="1:7" x14ac:dyDescent="0.3">
      <c r="A94" s="332" t="s">
        <v>161</v>
      </c>
      <c r="B94" s="332">
        <v>249949.85734471504</v>
      </c>
      <c r="C94" s="332">
        <v>218948.49499469055</v>
      </c>
      <c r="D94" s="332">
        <v>191329.23417870834</v>
      </c>
      <c r="E94" s="332">
        <v>162392.04435943774</v>
      </c>
      <c r="F94" s="332">
        <v>145086.19162162836</v>
      </c>
      <c r="G94" s="332">
        <v>35819.049921869482</v>
      </c>
    </row>
    <row r="95" spans="1:7" x14ac:dyDescent="0.3">
      <c r="A95" s="332" t="s">
        <v>563</v>
      </c>
      <c r="B95" s="332"/>
      <c r="C95" s="332"/>
      <c r="D95" s="332"/>
      <c r="E95" s="332"/>
      <c r="F95" s="332"/>
      <c r="G95" s="332"/>
    </row>
    <row r="96" spans="1:7" x14ac:dyDescent="0.3">
      <c r="A96" s="332" t="s">
        <v>415</v>
      </c>
      <c r="B96" s="332">
        <v>246552.88707030413</v>
      </c>
      <c r="C96" s="332">
        <v>216035.10479561583</v>
      </c>
      <c r="D96" s="332">
        <v>188879.40554395833</v>
      </c>
      <c r="E96" s="332">
        <v>160392.41049843197</v>
      </c>
      <c r="F96" s="332">
        <v>143380.81720254789</v>
      </c>
      <c r="G96" s="332">
        <v>22149.782261564218</v>
      </c>
    </row>
    <row r="97" spans="1:7" x14ac:dyDescent="0.3">
      <c r="A97" s="332" t="s">
        <v>388</v>
      </c>
      <c r="B97" s="332">
        <v>236928.13795947318</v>
      </c>
      <c r="C97" s="332">
        <v>207780.49923157087</v>
      </c>
      <c r="D97" s="332">
        <v>181938.22441216669</v>
      </c>
      <c r="E97" s="332">
        <v>154726.78122558238</v>
      </c>
      <c r="F97" s="332">
        <v>138548.92301515321</v>
      </c>
      <c r="G97" s="332">
        <v>26115.243714006501</v>
      </c>
    </row>
    <row r="98" spans="1:7" x14ac:dyDescent="0.3">
      <c r="A98" s="332" t="s">
        <v>564</v>
      </c>
      <c r="B98" s="332"/>
      <c r="C98" s="332"/>
      <c r="D98" s="332"/>
      <c r="E98" s="332"/>
      <c r="F98" s="332"/>
      <c r="G98" s="332">
        <v>20410.247640525311</v>
      </c>
    </row>
    <row r="99" spans="1:7" x14ac:dyDescent="0.3">
      <c r="A99" s="332" t="s">
        <v>496</v>
      </c>
      <c r="B99" s="332">
        <v>282457.45492674288</v>
      </c>
      <c r="C99" s="332">
        <v>246550.46274283508</v>
      </c>
      <c r="D99" s="332">
        <v>213110.72445132496</v>
      </c>
      <c r="E99" s="332">
        <v>179687.09053504886</v>
      </c>
      <c r="F99" s="332">
        <v>158686.51721318392</v>
      </c>
      <c r="G99" s="332">
        <v>77094.428765513498</v>
      </c>
    </row>
    <row r="100" spans="1:7" x14ac:dyDescent="0.3">
      <c r="A100" s="332" t="s">
        <v>312</v>
      </c>
      <c r="B100" s="332">
        <v>234558.02345947316</v>
      </c>
      <c r="C100" s="332">
        <v>205747.78543157087</v>
      </c>
      <c r="D100" s="332">
        <v>180228.94411216668</v>
      </c>
      <c r="E100" s="332">
        <v>153331.60822558237</v>
      </c>
      <c r="F100" s="332">
        <v>137359.05901515324</v>
      </c>
      <c r="G100" s="332">
        <v>37471.98883052294</v>
      </c>
    </row>
    <row r="101" spans="1:7" x14ac:dyDescent="0.3">
      <c r="A101" s="332" t="s">
        <v>403</v>
      </c>
      <c r="B101" s="332">
        <v>258232.86371696598</v>
      </c>
      <c r="C101" s="332">
        <v>225922.37749370595</v>
      </c>
      <c r="D101" s="332">
        <v>196526.70560254165</v>
      </c>
      <c r="E101" s="332">
        <v>166409.17749413123</v>
      </c>
      <c r="F101" s="332">
        <v>147975.69517733715</v>
      </c>
      <c r="G101" s="332">
        <v>73100.889267246268</v>
      </c>
    </row>
    <row r="102" spans="1:7" x14ac:dyDescent="0.3">
      <c r="A102" s="332" t="s">
        <v>168</v>
      </c>
      <c r="B102" s="332">
        <v>251874.80716688122</v>
      </c>
      <c r="C102" s="332">
        <v>220599.41610749959</v>
      </c>
      <c r="D102" s="332">
        <v>192717.47040506665</v>
      </c>
      <c r="E102" s="332">
        <v>163525.17021400767</v>
      </c>
      <c r="F102" s="332">
        <v>146052.57045910726</v>
      </c>
      <c r="G102" s="332">
        <v>14643.297126818736</v>
      </c>
    </row>
    <row r="103" spans="1:7" x14ac:dyDescent="0.3">
      <c r="A103" s="332" t="s">
        <v>565</v>
      </c>
      <c r="B103" s="332"/>
      <c r="C103" s="332"/>
      <c r="D103" s="332"/>
      <c r="E103" s="332"/>
      <c r="F103" s="332"/>
      <c r="G103" s="332">
        <v>59173.983866843977</v>
      </c>
    </row>
    <row r="104" spans="1:7" x14ac:dyDescent="0.3">
      <c r="A104" s="332" t="s">
        <v>404</v>
      </c>
      <c r="B104" s="332">
        <v>252488.38618452492</v>
      </c>
      <c r="C104" s="332">
        <v>220847.67935179843</v>
      </c>
      <c r="D104" s="332">
        <v>191497.6172320667</v>
      </c>
      <c r="E104" s="332">
        <v>162045.73373803066</v>
      </c>
      <c r="F104" s="332">
        <v>143641.20357542913</v>
      </c>
      <c r="G104" s="332">
        <v>68687.282486935481</v>
      </c>
    </row>
    <row r="105" spans="1:7" x14ac:dyDescent="0.3">
      <c r="A105" s="332" t="s">
        <v>376</v>
      </c>
      <c r="B105" s="332">
        <v>281525.73303074238</v>
      </c>
      <c r="C105" s="332">
        <v>248537.67049237737</v>
      </c>
      <c r="D105" s="332">
        <v>219759.50576558331</v>
      </c>
      <c r="E105" s="332">
        <v>188918.22901195212</v>
      </c>
      <c r="F105" s="332">
        <v>170876.72766932953</v>
      </c>
      <c r="G105" s="332">
        <v>28093.683558231813</v>
      </c>
    </row>
    <row r="106" spans="1:7" x14ac:dyDescent="0.3">
      <c r="A106" s="332" t="s">
        <v>334</v>
      </c>
      <c r="B106" s="332">
        <v>295585.74022069684</v>
      </c>
      <c r="C106" s="332">
        <v>265934.34466289938</v>
      </c>
      <c r="D106" s="332">
        <v>239087.68645412498</v>
      </c>
      <c r="E106" s="332">
        <v>211445.67125776148</v>
      </c>
      <c r="F106" s="332">
        <v>194630.25092316093</v>
      </c>
      <c r="G106" s="332">
        <v>48070.11481933578</v>
      </c>
    </row>
    <row r="107" spans="1:7" x14ac:dyDescent="0.3">
      <c r="A107" s="332" t="s">
        <v>400</v>
      </c>
      <c r="B107" s="332">
        <v>247366.77185184197</v>
      </c>
      <c r="C107" s="332">
        <v>216603.14212077126</v>
      </c>
      <c r="D107" s="332">
        <v>188690.29231404999</v>
      </c>
      <c r="E107" s="332">
        <v>160012.82913807471</v>
      </c>
      <c r="F107" s="332">
        <v>142520.61208704597</v>
      </c>
      <c r="G107" s="332">
        <v>18813.445378187462</v>
      </c>
    </row>
    <row r="108" spans="1:7" x14ac:dyDescent="0.3">
      <c r="A108" s="332" t="s">
        <v>375</v>
      </c>
      <c r="B108" s="332">
        <v>234000.97757207134</v>
      </c>
      <c r="C108" s="332">
        <v>205270.03852839174</v>
      </c>
      <c r="D108" s="332">
        <v>179827.2134947083</v>
      </c>
      <c r="E108" s="332">
        <v>153003.70196541474</v>
      </c>
      <c r="F108" s="332">
        <v>137079.40634530655</v>
      </c>
      <c r="G108" s="332">
        <v>21720.915913317174</v>
      </c>
    </row>
    <row r="109" spans="1:7" x14ac:dyDescent="0.3">
      <c r="A109" s="332" t="s">
        <v>497</v>
      </c>
      <c r="B109" s="332">
        <v>249547.12121991147</v>
      </c>
      <c r="C109" s="332">
        <v>218414.54304833233</v>
      </c>
      <c r="D109" s="332">
        <v>189551.57485379165</v>
      </c>
      <c r="E109" s="332">
        <v>160572.73993910247</v>
      </c>
      <c r="F109" s="332">
        <v>142477.40708193486</v>
      </c>
      <c r="G109" s="332">
        <v>24321.450892071967</v>
      </c>
    </row>
    <row r="110" spans="1:7" x14ac:dyDescent="0.3">
      <c r="A110" s="332" t="s">
        <v>498</v>
      </c>
      <c r="B110" s="332">
        <v>259068.59641586011</v>
      </c>
      <c r="C110" s="332">
        <v>226580.57638856251</v>
      </c>
      <c r="D110" s="332">
        <v>196418.27685463332</v>
      </c>
      <c r="E110" s="332">
        <v>166177.57679975094</v>
      </c>
      <c r="F110" s="332">
        <v>147257.4548655134</v>
      </c>
      <c r="G110" s="332">
        <v>23823.846645445235</v>
      </c>
    </row>
    <row r="111" spans="1:7" x14ac:dyDescent="0.3">
      <c r="A111" s="332" t="s">
        <v>566</v>
      </c>
      <c r="B111" s="332"/>
      <c r="C111" s="332"/>
      <c r="D111" s="332"/>
      <c r="E111" s="332"/>
      <c r="F111" s="332"/>
      <c r="G111" s="332">
        <v>17421.113387475263</v>
      </c>
    </row>
    <row r="112" spans="1:7" x14ac:dyDescent="0.3">
      <c r="A112" s="332" t="s">
        <v>499</v>
      </c>
      <c r="B112" s="332">
        <v>239961.75861018634</v>
      </c>
      <c r="C112" s="332">
        <v>210252.27906943084</v>
      </c>
      <c r="D112" s="332">
        <v>183349.94134990833</v>
      </c>
      <c r="E112" s="332">
        <v>155653.85216063313</v>
      </c>
      <c r="F112" s="332">
        <v>138803.08760636399</v>
      </c>
      <c r="G112" s="332">
        <v>18615.313023362691</v>
      </c>
    </row>
    <row r="113" spans="1:7" x14ac:dyDescent="0.3">
      <c r="A113" s="332" t="s">
        <v>377</v>
      </c>
      <c r="B113" s="332">
        <v>241799.61999569685</v>
      </c>
      <c r="C113" s="332">
        <v>211958.49517289939</v>
      </c>
      <c r="D113" s="332">
        <v>185451.44213912496</v>
      </c>
      <c r="E113" s="332">
        <v>157594.38960776149</v>
      </c>
      <c r="F113" s="332">
        <v>140994.5437231609</v>
      </c>
      <c r="G113" s="332">
        <v>14325.129444911599</v>
      </c>
    </row>
    <row r="114" spans="1:7" x14ac:dyDescent="0.3">
      <c r="A114" s="332" t="s">
        <v>500</v>
      </c>
      <c r="B114" s="332">
        <v>257062.67731050673</v>
      </c>
      <c r="C114" s="332">
        <v>225048.76032000731</v>
      </c>
      <c r="D114" s="332">
        <v>196458.8610574833</v>
      </c>
      <c r="E114" s="332">
        <v>166579.02113635439</v>
      </c>
      <c r="F114" s="332">
        <v>148657.0268769617</v>
      </c>
      <c r="G114" s="332">
        <v>22418.056775389799</v>
      </c>
    </row>
    <row r="115" spans="1:7" x14ac:dyDescent="0.3">
      <c r="A115" s="332" t="s">
        <v>191</v>
      </c>
      <c r="B115" s="332">
        <v>247697.79155286922</v>
      </c>
      <c r="C115" s="332">
        <v>216739.05598445798</v>
      </c>
      <c r="D115" s="332">
        <v>188042.73392192498</v>
      </c>
      <c r="E115" s="332">
        <v>159225.73990058905</v>
      </c>
      <c r="F115" s="332">
        <v>141236.19061474709</v>
      </c>
      <c r="G115" s="332">
        <v>52619.010477486649</v>
      </c>
    </row>
    <row r="116" spans="1:7" x14ac:dyDescent="0.3">
      <c r="A116" s="332" t="s">
        <v>416</v>
      </c>
      <c r="B116" s="332">
        <v>227644.13960640374</v>
      </c>
      <c r="C116" s="332">
        <v>199540.16747000976</v>
      </c>
      <c r="D116" s="332">
        <v>173580.43169342499</v>
      </c>
      <c r="E116" s="332">
        <v>147421.1145345546</v>
      </c>
      <c r="F116" s="332">
        <v>131168.69450026439</v>
      </c>
      <c r="G116" s="332">
        <v>46165.867549165661</v>
      </c>
    </row>
    <row r="117" spans="1:7" x14ac:dyDescent="0.3">
      <c r="A117" s="332" t="s">
        <v>186</v>
      </c>
      <c r="B117" s="332">
        <v>289841.57482440089</v>
      </c>
      <c r="C117" s="332">
        <v>259126.30310086379</v>
      </c>
      <c r="D117" s="332">
        <v>231259.80945057498</v>
      </c>
      <c r="E117" s="332">
        <v>202627.36575197411</v>
      </c>
      <c r="F117" s="332">
        <v>185164.57464513791</v>
      </c>
      <c r="G117" s="332">
        <v>25922.858873306639</v>
      </c>
    </row>
    <row r="118" spans="1:7" x14ac:dyDescent="0.3">
      <c r="A118" s="332" t="s">
        <v>567</v>
      </c>
      <c r="B118" s="332"/>
      <c r="C118" s="332"/>
      <c r="D118" s="332"/>
      <c r="E118" s="332"/>
      <c r="F118" s="332"/>
      <c r="G118" s="332">
        <v>34849.728068795528</v>
      </c>
    </row>
    <row r="119" spans="1:7" x14ac:dyDescent="0.3">
      <c r="A119" s="332" t="s">
        <v>396</v>
      </c>
      <c r="B119" s="332">
        <v>258668.74771570304</v>
      </c>
      <c r="C119" s="332">
        <v>226426.19650564902</v>
      </c>
      <c r="D119" s="332">
        <v>197617.12767456667</v>
      </c>
      <c r="E119" s="332">
        <v>167524.43793601915</v>
      </c>
      <c r="F119" s="332">
        <v>149463.31929726817</v>
      </c>
      <c r="G119" s="332">
        <v>20390.04979235266</v>
      </c>
    </row>
    <row r="120" spans="1:7" x14ac:dyDescent="0.3">
      <c r="A120" s="332" t="s">
        <v>568</v>
      </c>
      <c r="B120" s="332"/>
      <c r="C120" s="332"/>
      <c r="D120" s="332"/>
      <c r="E120" s="332"/>
      <c r="F120" s="332"/>
      <c r="G120" s="332"/>
    </row>
    <row r="121" spans="1:7" x14ac:dyDescent="0.3">
      <c r="A121" s="332" t="s">
        <v>569</v>
      </c>
      <c r="B121" s="332">
        <v>232880.37094798082</v>
      </c>
      <c r="C121" s="332">
        <v>204030.9883598935</v>
      </c>
      <c r="D121" s="332">
        <v>177356.69949753332</v>
      </c>
      <c r="E121" s="332">
        <v>150503.43338013027</v>
      </c>
      <c r="F121" s="332">
        <v>133797.42959682373</v>
      </c>
      <c r="G121" s="332">
        <v>41203.209123112974</v>
      </c>
    </row>
    <row r="122" spans="1:7" x14ac:dyDescent="0.3">
      <c r="A122" s="332" t="s">
        <v>395</v>
      </c>
      <c r="B122" s="332">
        <v>253769.26644022559</v>
      </c>
      <c r="C122" s="332">
        <v>222409.25682215916</v>
      </c>
      <c r="D122" s="332">
        <v>195191.749361925</v>
      </c>
      <c r="E122" s="332">
        <v>165866.12834656608</v>
      </c>
      <c r="F122" s="332">
        <v>148815.30045842531</v>
      </c>
      <c r="G122" s="332">
        <v>24232.801569472511</v>
      </c>
    </row>
    <row r="123" spans="1:7" x14ac:dyDescent="0.3">
      <c r="A123" s="332" t="s">
        <v>198</v>
      </c>
      <c r="B123" s="332">
        <v>266708.24403180898</v>
      </c>
      <c r="C123" s="332">
        <v>233321.21997679252</v>
      </c>
      <c r="D123" s="332">
        <v>203415.05544347499</v>
      </c>
      <c r="E123" s="332">
        <v>172256.90474039942</v>
      </c>
      <c r="F123" s="332">
        <v>153499.37208909195</v>
      </c>
      <c r="G123" s="332">
        <v>43699.094191197059</v>
      </c>
    </row>
    <row r="124" spans="1:7" x14ac:dyDescent="0.3">
      <c r="A124" s="332" t="s">
        <v>379</v>
      </c>
      <c r="B124" s="332">
        <v>250289.55437215618</v>
      </c>
      <c r="C124" s="332">
        <v>219239.83401459811</v>
      </c>
      <c r="D124" s="332">
        <v>191574.21704218333</v>
      </c>
      <c r="E124" s="332">
        <v>162592.00774553831</v>
      </c>
      <c r="F124" s="332">
        <v>145256.72906353636</v>
      </c>
      <c r="G124" s="332">
        <v>21830.335574121131</v>
      </c>
    </row>
    <row r="125" spans="1:7" x14ac:dyDescent="0.3">
      <c r="A125" s="332" t="s">
        <v>501</v>
      </c>
      <c r="B125" s="332">
        <v>240456.19501664562</v>
      </c>
      <c r="C125" s="332">
        <v>210528.34624312949</v>
      </c>
      <c r="D125" s="332">
        <v>182820.23589496667</v>
      </c>
      <c r="E125" s="332">
        <v>154962.95851840996</v>
      </c>
      <c r="F125" s="332">
        <v>137600.70590673949</v>
      </c>
      <c r="G125" s="332">
        <v>33231.336844237805</v>
      </c>
    </row>
    <row r="126" spans="1:7" x14ac:dyDescent="0.3">
      <c r="A126" s="332" t="s">
        <v>378</v>
      </c>
      <c r="B126" s="332">
        <v>238308.1844534128</v>
      </c>
      <c r="C126" s="332">
        <v>208834.10158990536</v>
      </c>
      <c r="D126" s="332">
        <v>182157.41595471665</v>
      </c>
      <c r="E126" s="332">
        <v>154680.47217539273</v>
      </c>
      <c r="F126" s="332">
        <v>137972.94696949809</v>
      </c>
      <c r="G126" s="332">
        <v>17051.651354092362</v>
      </c>
    </row>
    <row r="127" spans="1:7" x14ac:dyDescent="0.3">
      <c r="A127" s="332" t="s">
        <v>394</v>
      </c>
      <c r="B127" s="332">
        <v>235554.1912075096</v>
      </c>
      <c r="C127" s="332">
        <v>206324.17349515326</v>
      </c>
      <c r="D127" s="332">
        <v>179285.00646133337</v>
      </c>
      <c r="E127" s="332">
        <v>152077.38342893485</v>
      </c>
      <c r="F127" s="332">
        <v>135139.76241208811</v>
      </c>
      <c r="G127" s="332">
        <v>30540.985110523994</v>
      </c>
    </row>
    <row r="128" spans="1:7" x14ac:dyDescent="0.3">
      <c r="A128" s="332" t="s">
        <v>203</v>
      </c>
      <c r="B128" s="332">
        <v>227462.78201435538</v>
      </c>
      <c r="C128" s="332">
        <v>199384.62727138583</v>
      </c>
      <c r="D128" s="332">
        <v>173449.64013911667</v>
      </c>
      <c r="E128" s="332">
        <v>147314.35799778355</v>
      </c>
      <c r="F128" s="332">
        <v>131077.64789896936</v>
      </c>
      <c r="G128" s="332">
        <v>35671.817175383461</v>
      </c>
    </row>
    <row r="129" spans="1:8" x14ac:dyDescent="0.3">
      <c r="A129" s="332" t="s">
        <v>211</v>
      </c>
      <c r="B129" s="332">
        <v>254705.61572889032</v>
      </c>
      <c r="C129" s="332">
        <v>223027.24127339519</v>
      </c>
      <c r="D129" s="332">
        <v>194758.99426735833</v>
      </c>
      <c r="E129" s="332">
        <v>165191.53176484577</v>
      </c>
      <c r="F129" s="332">
        <v>147473.71580834102</v>
      </c>
      <c r="G129" s="332">
        <v>32725.963040534643</v>
      </c>
    </row>
    <row r="130" spans="1:8" x14ac:dyDescent="0.3">
      <c r="A130" s="332" t="s">
        <v>380</v>
      </c>
      <c r="B130" s="332">
        <v>285603.22495161876</v>
      </c>
      <c r="C130" s="332">
        <v>249619.40188590038</v>
      </c>
      <c r="D130" s="332">
        <v>217596.30620883332</v>
      </c>
      <c r="E130" s="332">
        <v>183992.1160389923</v>
      </c>
      <c r="F130" s="332">
        <v>163890.79860289273</v>
      </c>
      <c r="G130" s="332">
        <v>64024.138952739821</v>
      </c>
    </row>
    <row r="131" spans="1:8" x14ac:dyDescent="0.3">
      <c r="A131" s="332" t="s">
        <v>208</v>
      </c>
      <c r="B131" s="332">
        <v>232051.70700908045</v>
      </c>
      <c r="C131" s="332">
        <v>203468.27304428734</v>
      </c>
      <c r="D131" s="332">
        <v>177645.36658199999</v>
      </c>
      <c r="E131" s="332">
        <v>150997.58326625288</v>
      </c>
      <c r="F131" s="332">
        <v>134832.01969454024</v>
      </c>
      <c r="G131" s="332">
        <v>26032.572494657295</v>
      </c>
    </row>
    <row r="132" spans="1:8" x14ac:dyDescent="0.3">
      <c r="A132" s="332" t="s">
        <v>570</v>
      </c>
      <c r="B132" s="332"/>
      <c r="C132" s="332"/>
      <c r="D132" s="332"/>
      <c r="E132" s="332"/>
      <c r="F132" s="332"/>
      <c r="G132" s="332">
        <v>85610.430130608322</v>
      </c>
    </row>
    <row r="133" spans="1:8" x14ac:dyDescent="0.3">
      <c r="A133" s="332" t="s">
        <v>571</v>
      </c>
      <c r="B133" s="332">
        <v>269204.37173582712</v>
      </c>
      <c r="C133" s="332">
        <v>232731.63526058369</v>
      </c>
      <c r="D133" s="332">
        <v>200447.64278005832</v>
      </c>
      <c r="E133" s="332">
        <v>169081.42876207567</v>
      </c>
      <c r="F133" s="332">
        <v>148814.49934755941</v>
      </c>
      <c r="G133" s="332">
        <v>72844.517045640532</v>
      </c>
    </row>
    <row r="134" spans="1:8" x14ac:dyDescent="0.3">
      <c r="A134" s="332" t="s">
        <v>397</v>
      </c>
      <c r="B134" s="332">
        <v>244288.24022069687</v>
      </c>
      <c r="C134" s="332">
        <v>214092.84466289941</v>
      </c>
      <c r="D134" s="332">
        <v>187246.18645412498</v>
      </c>
      <c r="E134" s="332">
        <v>159059.32125776148</v>
      </c>
      <c r="F134" s="332">
        <v>142243.90092316095</v>
      </c>
      <c r="G134" s="332">
        <v>17844.096882264417</v>
      </c>
    </row>
    <row r="135" spans="1:8" x14ac:dyDescent="0.3">
      <c r="A135" s="332" t="s">
        <v>572</v>
      </c>
      <c r="B135" s="332"/>
      <c r="C135" s="332"/>
      <c r="D135" s="332"/>
      <c r="E135" s="332"/>
      <c r="F135" s="332"/>
      <c r="G135" s="332">
        <v>27082.11295438333</v>
      </c>
    </row>
    <row r="136" spans="1:8" x14ac:dyDescent="0.3">
      <c r="A136" s="332" t="s">
        <v>573</v>
      </c>
      <c r="B136" s="332"/>
      <c r="C136" s="332"/>
      <c r="D136" s="332"/>
      <c r="E136" s="332"/>
      <c r="F136" s="332"/>
      <c r="G136" s="332">
        <v>57861.749236141492</v>
      </c>
    </row>
    <row r="137" spans="1:8" x14ac:dyDescent="0.3">
      <c r="A137" s="332" t="s">
        <v>216</v>
      </c>
      <c r="B137" s="332">
        <v>263078.40193309862</v>
      </c>
      <c r="C137" s="332">
        <v>233346.40969607854</v>
      </c>
      <c r="D137" s="332">
        <v>206422.49122658334</v>
      </c>
      <c r="E137" s="332">
        <v>178705.44356792915</v>
      </c>
      <c r="F137" s="332">
        <v>161840.97999300767</v>
      </c>
      <c r="G137" s="332">
        <v>25060.751653972078</v>
      </c>
    </row>
    <row r="138" spans="1:8" x14ac:dyDescent="0.3">
      <c r="A138" s="332" t="s">
        <v>574</v>
      </c>
      <c r="B138" s="332">
        <v>312969.49682653404</v>
      </c>
      <c r="C138" s="332">
        <v>279356.80206969404</v>
      </c>
      <c r="D138" s="332">
        <v>249234.30880635828</v>
      </c>
      <c r="E138" s="332">
        <v>217866.0672088688</v>
      </c>
      <c r="F138" s="332">
        <v>198971.21348466285</v>
      </c>
      <c r="G138" s="332">
        <v>57565.477673975547</v>
      </c>
    </row>
    <row r="139" spans="1:8" x14ac:dyDescent="0.3">
      <c r="A139" s="332" t="s">
        <v>219</v>
      </c>
      <c r="B139" s="332">
        <v>235219.96367506846</v>
      </c>
      <c r="C139" s="332">
        <v>206037.52535324579</v>
      </c>
      <c r="D139" s="332">
        <v>179043.96809085831</v>
      </c>
      <c r="E139" s="332">
        <v>151880.63967283428</v>
      </c>
      <c r="F139" s="332">
        <v>134971.97081018006</v>
      </c>
      <c r="G139" s="332">
        <v>41524.865127355901</v>
      </c>
      <c r="H139" s="409"/>
    </row>
    <row r="140" spans="1:8" x14ac:dyDescent="0.3">
      <c r="A140" s="332" t="s">
        <v>225</v>
      </c>
      <c r="B140" s="332">
        <v>251771.13142310485</v>
      </c>
      <c r="C140" s="332">
        <v>220380.51341682815</v>
      </c>
      <c r="D140" s="332">
        <v>191866.63044002504</v>
      </c>
      <c r="E140" s="332">
        <v>162605.46487618677</v>
      </c>
      <c r="F140" s="332">
        <v>144731.72420711492</v>
      </c>
      <c r="G140" s="332">
        <v>63337.817316151857</v>
      </c>
    </row>
    <row r="141" spans="1:8" x14ac:dyDescent="0.3">
      <c r="A141" s="332" t="s">
        <v>398</v>
      </c>
      <c r="B141" s="332">
        <v>246695.10895554596</v>
      </c>
      <c r="C141" s="332">
        <v>215879.11155873563</v>
      </c>
      <c r="D141" s="332">
        <v>187319.61881049996</v>
      </c>
      <c r="E141" s="332">
        <v>158635.50863228735</v>
      </c>
      <c r="F141" s="332">
        <v>140732.81580902298</v>
      </c>
      <c r="G141" s="332">
        <v>22531.767900354211</v>
      </c>
    </row>
    <row r="142" spans="1:8" x14ac:dyDescent="0.3">
      <c r="A142" s="332" t="s">
        <v>575</v>
      </c>
      <c r="B142" s="332"/>
      <c r="C142" s="332"/>
      <c r="D142" s="332"/>
      <c r="E142" s="332"/>
      <c r="F142" s="332"/>
      <c r="G142" s="332"/>
    </row>
    <row r="143" spans="1:8" x14ac:dyDescent="0.3">
      <c r="A143" s="332" t="s">
        <v>222</v>
      </c>
      <c r="B143" s="332">
        <v>325800.706532148</v>
      </c>
      <c r="C143" s="332">
        <v>284094.51924161782</v>
      </c>
      <c r="D143" s="332">
        <v>246585.94505337498</v>
      </c>
      <c r="E143" s="332">
        <v>207654.45006089367</v>
      </c>
      <c r="F143" s="332">
        <v>184071.06256201147</v>
      </c>
      <c r="G143" s="332">
        <v>27866.689541039159</v>
      </c>
    </row>
    <row r="144" spans="1:8" x14ac:dyDescent="0.3">
      <c r="A144" s="332" t="s">
        <v>502</v>
      </c>
      <c r="B144" s="332">
        <v>241471.94605372698</v>
      </c>
      <c r="C144" s="332">
        <v>211488.91983573214</v>
      </c>
      <c r="D144" s="332">
        <v>183727.91619485</v>
      </c>
      <c r="E144" s="332">
        <v>155819.2707028563</v>
      </c>
      <c r="F144" s="332">
        <v>138423.44250598853</v>
      </c>
      <c r="G144" s="332">
        <v>46430.488384024902</v>
      </c>
    </row>
    <row r="145" spans="1:7" x14ac:dyDescent="0.3">
      <c r="A145" s="332" t="s">
        <v>503</v>
      </c>
      <c r="B145" s="332">
        <v>273358.46168932848</v>
      </c>
      <c r="C145" s="332">
        <v>239209.80697015673</v>
      </c>
      <c r="D145" s="332">
        <v>209319.0944889833</v>
      </c>
      <c r="E145" s="332">
        <v>177397.35027836589</v>
      </c>
      <c r="F145" s="332">
        <v>158649.6262751226</v>
      </c>
      <c r="G145" s="332">
        <v>12582.954922629306</v>
      </c>
    </row>
    <row r="146" spans="1:7" x14ac:dyDescent="0.3">
      <c r="A146" s="332" t="s">
        <v>576</v>
      </c>
      <c r="B146" s="332"/>
      <c r="C146" s="332"/>
      <c r="D146" s="332"/>
      <c r="E146" s="332"/>
      <c r="F146" s="332"/>
      <c r="G146" s="332">
        <v>47820.08702451655</v>
      </c>
    </row>
    <row r="147" spans="1:7" x14ac:dyDescent="0.3">
      <c r="A147" s="332" t="s">
        <v>504</v>
      </c>
      <c r="B147" s="332">
        <v>235442.78203002922</v>
      </c>
      <c r="C147" s="332">
        <v>206228.62411451744</v>
      </c>
      <c r="D147" s="332">
        <v>179204.66033784166</v>
      </c>
      <c r="E147" s="332">
        <v>152011.80217690137</v>
      </c>
      <c r="F147" s="332">
        <v>135083.8318781188</v>
      </c>
      <c r="G147" s="332">
        <v>38184.682319842956</v>
      </c>
    </row>
    <row r="148" spans="1:7" x14ac:dyDescent="0.3">
      <c r="A148" s="332" t="s">
        <v>577</v>
      </c>
      <c r="B148" s="332"/>
      <c r="C148" s="332"/>
      <c r="D148" s="332"/>
      <c r="E148" s="332"/>
      <c r="F148" s="332"/>
      <c r="G148" s="332">
        <v>102521.94989043666</v>
      </c>
    </row>
    <row r="149" spans="1:7" x14ac:dyDescent="0.3">
      <c r="A149" s="332" t="s">
        <v>505</v>
      </c>
      <c r="B149" s="332">
        <v>220500.59562214362</v>
      </c>
      <c r="C149" s="332">
        <v>193502.97298509884</v>
      </c>
      <c r="D149" s="332">
        <v>168603.78773729998</v>
      </c>
      <c r="E149" s="332">
        <v>143474.44014902302</v>
      </c>
      <c r="F149" s="332">
        <v>127895.23599532184</v>
      </c>
      <c r="G149" s="332">
        <v>30335.301947782718</v>
      </c>
    </row>
    <row r="150" spans="1:7" x14ac:dyDescent="0.3">
      <c r="A150" s="332" t="s">
        <v>230</v>
      </c>
      <c r="B150" s="332">
        <v>284908.45683131088</v>
      </c>
      <c r="C150" s="332">
        <v>248652.54911682315</v>
      </c>
      <c r="D150" s="332">
        <v>214878.33916814165</v>
      </c>
      <c r="E150" s="332">
        <v>181129.87807978643</v>
      </c>
      <c r="F150" s="332">
        <v>159916.9889605096</v>
      </c>
      <c r="G150" s="332">
        <v>32158.790949625032</v>
      </c>
    </row>
    <row r="151" spans="1:7" x14ac:dyDescent="0.3">
      <c r="A151" s="332" t="s">
        <v>233</v>
      </c>
      <c r="B151" s="332">
        <v>255725.76718074235</v>
      </c>
      <c r="C151" s="332">
        <v>223902.16775237734</v>
      </c>
      <c r="D151" s="332">
        <v>195494.70757558334</v>
      </c>
      <c r="E151" s="332">
        <v>165792.04611195208</v>
      </c>
      <c r="F151" s="332">
        <v>147985.86046932952</v>
      </c>
      <c r="G151" s="332">
        <v>26262.549153851713</v>
      </c>
    </row>
    <row r="152" spans="1:7" x14ac:dyDescent="0.3">
      <c r="A152" s="332" t="s">
        <v>238</v>
      </c>
      <c r="B152" s="332">
        <v>251882.54060058526</v>
      </c>
      <c r="C152" s="332">
        <v>220476.06279746399</v>
      </c>
      <c r="D152" s="332">
        <v>191946.97656351666</v>
      </c>
      <c r="E152" s="332">
        <v>162671.04612822027</v>
      </c>
      <c r="F152" s="332">
        <v>144787.65474108426</v>
      </c>
      <c r="G152" s="332">
        <v>72098.296934709389</v>
      </c>
    </row>
    <row r="153" spans="1:7" x14ac:dyDescent="0.3">
      <c r="A153" s="332" t="s">
        <v>406</v>
      </c>
      <c r="B153" s="332">
        <v>319885.50366082095</v>
      </c>
      <c r="C153" s="332">
        <v>287351.2184658341</v>
      </c>
      <c r="D153" s="332">
        <v>258634.86194761671</v>
      </c>
      <c r="E153" s="332">
        <v>228242.061163818</v>
      </c>
      <c r="F153" s="332">
        <v>210239.79441345215</v>
      </c>
      <c r="G153" s="332">
        <v>27487.308061614669</v>
      </c>
    </row>
    <row r="154" spans="1:7" x14ac:dyDescent="0.3">
      <c r="A154" s="332" t="s">
        <v>241</v>
      </c>
      <c r="B154" s="332">
        <v>251485.70358720166</v>
      </c>
      <c r="C154" s="332">
        <v>219987.73492607605</v>
      </c>
      <c r="D154" s="332">
        <v>190774.50212064164</v>
      </c>
      <c r="E154" s="332">
        <v>161455.50246972893</v>
      </c>
      <c r="F154" s="332">
        <v>143137.82876970497</v>
      </c>
      <c r="G154" s="332">
        <v>32896.61610093846</v>
      </c>
    </row>
    <row r="155" spans="1:7" x14ac:dyDescent="0.3">
      <c r="A155" s="332" t="s">
        <v>578</v>
      </c>
      <c r="B155" s="332">
        <v>282011.81821682141</v>
      </c>
      <c r="C155" s="332">
        <v>246168.26522029177</v>
      </c>
      <c r="D155" s="332">
        <v>212789.33995735834</v>
      </c>
      <c r="E155" s="332">
        <v>179424.76552691474</v>
      </c>
      <c r="F155" s="332">
        <v>158462.79507730648</v>
      </c>
      <c r="G155" s="332">
        <v>74403.212257829568</v>
      </c>
    </row>
    <row r="156" spans="1:7" x14ac:dyDescent="0.3">
      <c r="A156" s="332" t="s">
        <v>579</v>
      </c>
      <c r="B156" s="332">
        <v>280537.50393256132</v>
      </c>
      <c r="C156" s="332">
        <v>245366.86741538087</v>
      </c>
      <c r="D156" s="332">
        <v>214496.47958123335</v>
      </c>
      <c r="E156" s="332">
        <v>181623.30894138312</v>
      </c>
      <c r="F156" s="332">
        <v>162253.70697236399</v>
      </c>
      <c r="G156" s="332">
        <v>17239.324594739373</v>
      </c>
    </row>
    <row r="157" spans="1:7" x14ac:dyDescent="0.3">
      <c r="A157" s="332" t="s">
        <v>381</v>
      </c>
      <c r="B157" s="332">
        <v>292962.19962125912</v>
      </c>
      <c r="C157" s="332">
        <v>258346.08416259554</v>
      </c>
      <c r="D157" s="332">
        <v>228007.2621692417</v>
      </c>
      <c r="E157" s="332">
        <v>195650.32967733813</v>
      </c>
      <c r="F157" s="332">
        <v>176618.15488023375</v>
      </c>
      <c r="G157" s="332">
        <v>15142.903045850639</v>
      </c>
    </row>
    <row r="158" spans="1:7" x14ac:dyDescent="0.3">
      <c r="A158" s="332" t="s">
        <v>410</v>
      </c>
      <c r="B158" s="332">
        <v>233611.43549380559</v>
      </c>
      <c r="C158" s="332">
        <v>204805.96437318888</v>
      </c>
      <c r="D158" s="332">
        <v>178770.21231088333</v>
      </c>
      <c r="E158" s="332">
        <v>151915.72079472221</v>
      </c>
      <c r="F158" s="332">
        <v>135615.04717011112</v>
      </c>
      <c r="G158" s="332">
        <v>34638.603482149912</v>
      </c>
    </row>
    <row r="159" spans="1:7" x14ac:dyDescent="0.3">
      <c r="A159" s="332" t="s">
        <v>248</v>
      </c>
      <c r="B159" s="332">
        <v>308134.67167400813</v>
      </c>
      <c r="C159" s="332">
        <v>275775.26323358028</v>
      </c>
      <c r="D159" s="332">
        <v>247599.72854040831</v>
      </c>
      <c r="E159" s="332">
        <v>217343.70499264466</v>
      </c>
      <c r="F159" s="332">
        <v>199684.74092452487</v>
      </c>
      <c r="G159" s="332">
        <v>21206.282347620774</v>
      </c>
    </row>
    <row r="160" spans="1:7" x14ac:dyDescent="0.3">
      <c r="A160" s="332" t="s">
        <v>336</v>
      </c>
      <c r="B160" s="332">
        <v>242907.19692121365</v>
      </c>
      <c r="C160" s="332">
        <v>212630.43261711762</v>
      </c>
      <c r="D160" s="332">
        <v>184587.8506117833</v>
      </c>
      <c r="E160" s="332">
        <v>156405.7460631475</v>
      </c>
      <c r="F160" s="332">
        <v>138831.17765406513</v>
      </c>
      <c r="G160" s="332">
        <v>100384.72317560452</v>
      </c>
    </row>
    <row r="161" spans="1:7" x14ac:dyDescent="0.3">
      <c r="A161" s="332" t="s">
        <v>407</v>
      </c>
      <c r="B161" s="332">
        <v>328377.92934684822</v>
      </c>
      <c r="C161" s="332">
        <v>294634.69396352093</v>
      </c>
      <c r="D161" s="332">
        <v>264759.43353449163</v>
      </c>
      <c r="E161" s="332">
        <v>233241.14581633237</v>
      </c>
      <c r="F161" s="332">
        <v>214503.23046115326</v>
      </c>
      <c r="G161" s="332">
        <v>40112.627194097287</v>
      </c>
    </row>
    <row r="162" spans="1:7" x14ac:dyDescent="0.3">
      <c r="A162" s="332" t="s">
        <v>580</v>
      </c>
      <c r="B162" s="332"/>
      <c r="C162" s="332"/>
      <c r="D162" s="332"/>
      <c r="E162" s="332"/>
      <c r="F162" s="332"/>
      <c r="G162" s="332">
        <v>21861.860766233149</v>
      </c>
    </row>
    <row r="163" spans="1:7" x14ac:dyDescent="0.3">
      <c r="A163" s="332" t="s">
        <v>506</v>
      </c>
      <c r="B163" s="332">
        <v>264232.73934483906</v>
      </c>
      <c r="C163" s="332">
        <v>231291.13926162524</v>
      </c>
      <c r="D163" s="332">
        <v>202184.32925620003</v>
      </c>
      <c r="E163" s="332">
        <v>171412.33370549427</v>
      </c>
      <c r="F163" s="332">
        <v>153162.21503191954</v>
      </c>
      <c r="G163" s="332">
        <v>27771.087475773315</v>
      </c>
    </row>
    <row r="164" spans="1:7" x14ac:dyDescent="0.3">
      <c r="A164" s="332" t="s">
        <v>581</v>
      </c>
      <c r="B164" s="332">
        <v>235059.75480105032</v>
      </c>
      <c r="C164" s="332">
        <v>206048.10632145457</v>
      </c>
      <c r="D164" s="332">
        <v>179814.711916275</v>
      </c>
      <c r="E164" s="332">
        <v>152768.27707115805</v>
      </c>
      <c r="F164" s="332">
        <v>136342.14411171264</v>
      </c>
      <c r="G164" s="332">
        <v>31714.337041623872</v>
      </c>
    </row>
    <row r="165" spans="1:7" x14ac:dyDescent="0.3">
      <c r="A165" s="332" t="s">
        <v>507</v>
      </c>
      <c r="B165" s="332">
        <v>247136.62117030416</v>
      </c>
      <c r="C165" s="332">
        <v>216347.19283561586</v>
      </c>
      <c r="D165" s="332">
        <v>187813.16928395833</v>
      </c>
      <c r="E165" s="332">
        <v>159153.79389843196</v>
      </c>
      <c r="F165" s="332">
        <v>141267.2684025479</v>
      </c>
      <c r="G165" s="332">
        <v>43140.954722731622</v>
      </c>
    </row>
    <row r="166" spans="1:7" x14ac:dyDescent="0.3">
      <c r="A166" s="332" t="s">
        <v>582</v>
      </c>
      <c r="B166" s="332"/>
      <c r="C166" s="332"/>
      <c r="D166" s="332"/>
      <c r="E166" s="332"/>
      <c r="F166" s="332"/>
      <c r="G166" s="332">
        <v>54812.769084908032</v>
      </c>
    </row>
    <row r="167" spans="1:7" x14ac:dyDescent="0.3">
      <c r="A167" s="332" t="s">
        <v>583</v>
      </c>
      <c r="B167" s="332">
        <v>255585.04645554599</v>
      </c>
      <c r="C167" s="332">
        <v>221051.1065587356</v>
      </c>
      <c r="D167" s="332">
        <v>190625.65131049996</v>
      </c>
      <c r="E167" s="332">
        <v>161064.38363228735</v>
      </c>
      <c r="F167" s="332">
        <v>141977.21580902298</v>
      </c>
      <c r="G167" s="332">
        <v>64122.433391356702</v>
      </c>
    </row>
    <row r="168" spans="1:7" x14ac:dyDescent="0.3">
      <c r="A168" s="332" t="s">
        <v>383</v>
      </c>
      <c r="B168" s="332">
        <v>223522.00003963028</v>
      </c>
      <c r="C168" s="332">
        <v>196004.84038648431</v>
      </c>
      <c r="D168" s="332">
        <v>170607.62512423331</v>
      </c>
      <c r="E168" s="332">
        <v>144994.6082093142</v>
      </c>
      <c r="F168" s="332">
        <v>129099.26474339848</v>
      </c>
      <c r="G168" s="332">
        <v>26863.713409455035</v>
      </c>
    </row>
    <row r="169" spans="1:7" x14ac:dyDescent="0.3">
      <c r="A169" s="332" t="s">
        <v>584</v>
      </c>
      <c r="B169" s="332"/>
      <c r="C169" s="332"/>
      <c r="D169" s="332"/>
      <c r="E169" s="332"/>
      <c r="F169" s="332"/>
      <c r="G169" s="332">
        <v>16927.287537887245</v>
      </c>
    </row>
    <row r="170" spans="1:7" x14ac:dyDescent="0.3">
      <c r="A170" s="332" t="s">
        <v>259</v>
      </c>
      <c r="B170" s="332">
        <v>305728.98094735248</v>
      </c>
      <c r="C170" s="332">
        <v>275384.45394823985</v>
      </c>
      <c r="D170" s="332">
        <v>247873.35749726667</v>
      </c>
      <c r="E170" s="332">
        <v>219586.0631252031</v>
      </c>
      <c r="F170" s="332">
        <v>202348.87092384291</v>
      </c>
      <c r="G170" s="332">
        <v>34096.878949151309</v>
      </c>
    </row>
    <row r="171" spans="1:7" x14ac:dyDescent="0.3">
      <c r="A171" s="332" t="s">
        <v>366</v>
      </c>
      <c r="B171" s="332">
        <v>326363.43214157328</v>
      </c>
      <c r="C171" s="332">
        <v>292394.52605642239</v>
      </c>
      <c r="D171" s="332">
        <v>262302.93689737492</v>
      </c>
      <c r="E171" s="332">
        <v>230574.55828480175</v>
      </c>
      <c r="F171" s="332">
        <v>211699.32185672416</v>
      </c>
      <c r="G171" s="332">
        <v>24648.252038256582</v>
      </c>
    </row>
    <row r="172" spans="1:7" x14ac:dyDescent="0.3">
      <c r="A172" s="332" t="s">
        <v>384</v>
      </c>
      <c r="B172" s="332">
        <v>251102.6763582227</v>
      </c>
      <c r="C172" s="332">
        <v>219807.21713301324</v>
      </c>
      <c r="D172" s="332">
        <v>191384.55369907495</v>
      </c>
      <c r="E172" s="332">
        <v>162211.97736398561</v>
      </c>
      <c r="F172" s="332">
        <v>144396.14100329884</v>
      </c>
      <c r="G172" s="332">
        <v>31287.644260547662</v>
      </c>
    </row>
    <row r="173" spans="1:7" x14ac:dyDescent="0.3">
      <c r="A173" s="332" t="s">
        <v>585</v>
      </c>
      <c r="B173" s="332"/>
      <c r="C173" s="332"/>
      <c r="D173" s="332"/>
      <c r="E173" s="332"/>
      <c r="F173" s="332"/>
      <c r="G173" s="332">
        <v>44989.588690782271</v>
      </c>
    </row>
    <row r="174" spans="1:7" x14ac:dyDescent="0.3">
      <c r="A174" s="332" t="s">
        <v>266</v>
      </c>
      <c r="B174" s="332">
        <v>241124.65008152777</v>
      </c>
      <c r="C174" s="332">
        <v>211101.64252694446</v>
      </c>
      <c r="D174" s="332">
        <v>183302.31263591666</v>
      </c>
      <c r="E174" s="332">
        <v>155356.44603061109</v>
      </c>
      <c r="F174" s="332">
        <v>137936.28911055555</v>
      </c>
      <c r="G174" s="332">
        <v>61862.033971375749</v>
      </c>
    </row>
    <row r="175" spans="1:7" x14ac:dyDescent="0.3">
      <c r="A175" s="332" t="s">
        <v>417</v>
      </c>
      <c r="B175" s="332">
        <v>253314.63995176335</v>
      </c>
      <c r="C175" s="332">
        <v>221927.29995931455</v>
      </c>
      <c r="D175" s="332">
        <v>194310.40915401664</v>
      </c>
      <c r="E175" s="332">
        <v>164985.37100620882</v>
      </c>
      <c r="F175" s="332">
        <v>147681.02270292336</v>
      </c>
      <c r="G175" s="332">
        <v>23445.767465705154</v>
      </c>
    </row>
    <row r="176" spans="1:7" x14ac:dyDescent="0.3">
      <c r="A176" s="332" t="s">
        <v>418</v>
      </c>
      <c r="B176" s="332">
        <v>264428.77690779069</v>
      </c>
      <c r="C176" s="332">
        <v>231459.2696450013</v>
      </c>
      <c r="D176" s="332">
        <v>202325.70771889164</v>
      </c>
      <c r="E176" s="332">
        <v>171527.7316387232</v>
      </c>
      <c r="F176" s="332">
        <v>153260.63139062453</v>
      </c>
      <c r="G176" s="332">
        <v>27468.054892481545</v>
      </c>
    </row>
    <row r="177" spans="1:7" x14ac:dyDescent="0.3">
      <c r="A177" s="332" t="s">
        <v>390</v>
      </c>
      <c r="B177" s="332">
        <v>276657.86989567004</v>
      </c>
      <c r="C177" s="332">
        <v>241947.47436167032</v>
      </c>
      <c r="D177" s="332">
        <v>211145.09080399165</v>
      </c>
      <c r="E177" s="332">
        <v>178726.41353834388</v>
      </c>
      <c r="F177" s="332">
        <v>159399.97929931417</v>
      </c>
      <c r="G177" s="332">
        <v>18754.280100451564</v>
      </c>
    </row>
    <row r="178" spans="1:7" x14ac:dyDescent="0.3">
      <c r="A178" s="332" t="s">
        <v>586</v>
      </c>
      <c r="B178" s="332"/>
      <c r="C178" s="332"/>
      <c r="D178" s="332"/>
      <c r="E178" s="332"/>
      <c r="F178" s="332"/>
      <c r="G178" s="332">
        <v>14662.577552270572</v>
      </c>
    </row>
    <row r="179" spans="1:7" x14ac:dyDescent="0.3">
      <c r="A179" s="332" t="s">
        <v>587</v>
      </c>
      <c r="B179" s="332"/>
      <c r="C179" s="332"/>
      <c r="D179" s="332"/>
      <c r="E179" s="332"/>
      <c r="F179" s="332"/>
      <c r="G179" s="332"/>
    </row>
    <row r="180" spans="1:7" x14ac:dyDescent="0.3">
      <c r="A180" s="332" t="s">
        <v>342</v>
      </c>
      <c r="B180" s="332">
        <v>245803.83553570305</v>
      </c>
      <c r="C180" s="332">
        <v>215114.71651364904</v>
      </c>
      <c r="D180" s="332">
        <v>186676.84982256667</v>
      </c>
      <c r="E180" s="332">
        <v>158110.85861601916</v>
      </c>
      <c r="F180" s="332">
        <v>140285.37153726816</v>
      </c>
      <c r="G180" s="332">
        <v>48353.147003918537</v>
      </c>
    </row>
    <row r="181" spans="1:7" x14ac:dyDescent="0.3">
      <c r="A181" s="332" t="s">
        <v>588</v>
      </c>
      <c r="B181" s="332"/>
      <c r="C181" s="332"/>
      <c r="D181" s="332"/>
      <c r="E181" s="332"/>
      <c r="F181" s="332"/>
      <c r="G181" s="332">
        <v>22226.103562451175</v>
      </c>
    </row>
    <row r="182" spans="1:7" x14ac:dyDescent="0.3">
      <c r="A182" s="332" t="s">
        <v>271</v>
      </c>
      <c r="B182" s="332">
        <v>214943.49337364221</v>
      </c>
      <c r="C182" s="332">
        <v>188647.53807752585</v>
      </c>
      <c r="D182" s="332">
        <v>164420.97361537497</v>
      </c>
      <c r="E182" s="332">
        <v>139944.85180273277</v>
      </c>
      <c r="F182" s="332">
        <v>124792.61362775862</v>
      </c>
      <c r="G182" s="332">
        <v>22329.743396717324</v>
      </c>
    </row>
    <row r="183" spans="1:7" x14ac:dyDescent="0.3">
      <c r="A183" s="332" t="s">
        <v>274</v>
      </c>
      <c r="B183" s="332">
        <v>234774.32696514702</v>
      </c>
      <c r="C183" s="332">
        <v>205655.3278307025</v>
      </c>
      <c r="D183" s="332">
        <v>178722.58359689164</v>
      </c>
      <c r="E183" s="332">
        <v>151618.31466470018</v>
      </c>
      <c r="F183" s="332">
        <v>134748.24867430265</v>
      </c>
      <c r="G183" s="332">
        <v>46032.053755449502</v>
      </c>
    </row>
    <row r="184" spans="1:7" x14ac:dyDescent="0.3">
      <c r="A184" s="332" t="s">
        <v>589</v>
      </c>
      <c r="B184" s="332"/>
      <c r="C184" s="332"/>
      <c r="D184" s="332"/>
      <c r="E184" s="332"/>
      <c r="F184" s="332"/>
      <c r="G184" s="332">
        <v>13519.905140787858</v>
      </c>
    </row>
    <row r="185" spans="1:7" x14ac:dyDescent="0.3">
      <c r="A185" s="332" t="s">
        <v>385</v>
      </c>
      <c r="B185" s="332">
        <v>263084.80907243729</v>
      </c>
      <c r="C185" s="332">
        <v>230213.6037644461</v>
      </c>
      <c r="D185" s="332">
        <v>200801.90489974164</v>
      </c>
      <c r="E185" s="332">
        <v>170123.96195532661</v>
      </c>
      <c r="F185" s="332">
        <v>151680.30604207277</v>
      </c>
      <c r="G185" s="332">
        <v>25604.099370824726</v>
      </c>
    </row>
    <row r="186" spans="1:7" x14ac:dyDescent="0.3">
      <c r="A186" s="332" t="s">
        <v>279</v>
      </c>
      <c r="B186" s="332">
        <v>240551.57291884482</v>
      </c>
      <c r="C186" s="332">
        <v>210888.11544391722</v>
      </c>
      <c r="D186" s="332">
        <v>184551.37495589998</v>
      </c>
      <c r="E186" s="332">
        <v>156859.72401065516</v>
      </c>
      <c r="F186" s="332">
        <v>140367.98906217242</v>
      </c>
      <c r="G186" s="332">
        <v>27376.255066197184</v>
      </c>
    </row>
    <row r="187" spans="1:7" x14ac:dyDescent="0.3">
      <c r="A187" s="332" t="s">
        <v>282</v>
      </c>
      <c r="B187" s="332">
        <v>232323.32506057899</v>
      </c>
      <c r="C187" s="332">
        <v>203553.24145671434</v>
      </c>
      <c r="D187" s="332">
        <v>176954.968880075</v>
      </c>
      <c r="E187" s="332">
        <v>150175.52711996261</v>
      </c>
      <c r="F187" s="332">
        <v>133517.77692697701</v>
      </c>
      <c r="G187" s="332">
        <v>32898.898039882413</v>
      </c>
    </row>
    <row r="188" spans="1:7" x14ac:dyDescent="0.3">
      <c r="A188" s="332" t="s">
        <v>474</v>
      </c>
      <c r="B188" s="332">
        <v>243130.01527617435</v>
      </c>
      <c r="C188" s="332">
        <v>212821.53137838925</v>
      </c>
      <c r="D188" s="332">
        <v>184748.54285876665</v>
      </c>
      <c r="E188" s="332">
        <v>156536.90856721456</v>
      </c>
      <c r="F188" s="332">
        <v>138943.03872200381</v>
      </c>
      <c r="G188" s="332">
        <v>68135.051133826462</v>
      </c>
    </row>
    <row r="189" spans="1:7" x14ac:dyDescent="0.3">
      <c r="A189" s="332" t="s">
        <v>590</v>
      </c>
      <c r="B189" s="332">
        <v>255946.62146298707</v>
      </c>
      <c r="C189" s="332">
        <v>221361.2090906431</v>
      </c>
      <c r="D189" s="332">
        <v>190886.41214597499</v>
      </c>
      <c r="E189" s="332">
        <v>161277.22553838795</v>
      </c>
      <c r="F189" s="332">
        <v>142158.73661093105</v>
      </c>
      <c r="G189" s="332">
        <v>83471.724364546782</v>
      </c>
    </row>
    <row r="190" spans="1:7" x14ac:dyDescent="0.3">
      <c r="A190" s="332" t="s">
        <v>359</v>
      </c>
      <c r="B190" s="332">
        <v>277761.64691193297</v>
      </c>
      <c r="C190" s="332">
        <v>240070.72851572718</v>
      </c>
      <c r="D190" s="332">
        <v>206618.98255296666</v>
      </c>
      <c r="E190" s="332">
        <v>174118.68720645594</v>
      </c>
      <c r="F190" s="332">
        <v>153110.49165938314</v>
      </c>
      <c r="G190" s="332">
        <v>80520.849494170659</v>
      </c>
    </row>
    <row r="191" spans="1:7" x14ac:dyDescent="0.3">
      <c r="A191" s="332" t="s">
        <v>287</v>
      </c>
      <c r="B191" s="332">
        <v>247370.07886971504</v>
      </c>
      <c r="C191" s="332">
        <v>216735.96420469059</v>
      </c>
      <c r="D191" s="332">
        <v>189468.74831370835</v>
      </c>
      <c r="E191" s="332">
        <v>160873.45220943773</v>
      </c>
      <c r="F191" s="332">
        <v>143791.07042162833</v>
      </c>
      <c r="G191" s="332">
        <v>21450.135226947619</v>
      </c>
    </row>
    <row r="192" spans="1:7" x14ac:dyDescent="0.3">
      <c r="A192" s="332" t="s">
        <v>290</v>
      </c>
      <c r="B192" s="332">
        <v>327243.94427384913</v>
      </c>
      <c r="C192" s="332">
        <v>284961.31375843618</v>
      </c>
      <c r="D192" s="332">
        <v>245409.86609497503</v>
      </c>
      <c r="E192" s="332">
        <v>206050.75385252587</v>
      </c>
      <c r="F192" s="332">
        <v>181170.59186886207</v>
      </c>
      <c r="G192" s="332">
        <v>87184.451798390975</v>
      </c>
    </row>
    <row r="193" spans="1:7" x14ac:dyDescent="0.3">
      <c r="A193" s="332" t="s">
        <v>401</v>
      </c>
      <c r="B193" s="332">
        <v>236270.00228876635</v>
      </c>
      <c r="C193" s="332">
        <v>207086.06747046055</v>
      </c>
      <c r="D193" s="332">
        <v>180687.5187738667</v>
      </c>
      <c r="E193" s="332">
        <v>153480.69185878927</v>
      </c>
      <c r="F193" s="332">
        <v>136949.72231804981</v>
      </c>
      <c r="G193" s="332">
        <v>26609.747401755845</v>
      </c>
    </row>
    <row r="194" spans="1:7" x14ac:dyDescent="0.3">
      <c r="A194" s="332" t="s">
        <v>591</v>
      </c>
      <c r="B194" s="332"/>
      <c r="C194" s="332"/>
      <c r="D194" s="332"/>
      <c r="E194" s="332"/>
      <c r="F194" s="332"/>
      <c r="G194" s="332">
        <v>45800.241114595439</v>
      </c>
    </row>
    <row r="195" spans="1:7" x14ac:dyDescent="0.3">
      <c r="A195" s="332" t="s">
        <v>399</v>
      </c>
      <c r="B195" s="332">
        <v>267312.3216387002</v>
      </c>
      <c r="C195" s="332">
        <v>233839.30333850303</v>
      </c>
      <c r="D195" s="332">
        <v>203850.70441871666</v>
      </c>
      <c r="E195" s="332">
        <v>172612.49632343871</v>
      </c>
      <c r="F195" s="332">
        <v>153802.63600214175</v>
      </c>
      <c r="G195" s="332">
        <v>22447.259527150287</v>
      </c>
    </row>
    <row r="196" spans="1:7" x14ac:dyDescent="0.3">
      <c r="A196" s="332" t="s">
        <v>295</v>
      </c>
      <c r="B196" s="332">
        <v>301455.9664402256</v>
      </c>
      <c r="C196" s="332">
        <v>270485.25682215916</v>
      </c>
      <c r="D196" s="332">
        <v>243267.749361925</v>
      </c>
      <c r="E196" s="332">
        <v>214330.57834656609</v>
      </c>
      <c r="F196" s="332">
        <v>197279.75045842529</v>
      </c>
      <c r="G196" s="332">
        <v>45026.098656365029</v>
      </c>
    </row>
    <row r="197" spans="1:7" x14ac:dyDescent="0.3">
      <c r="A197" s="332" t="s">
        <v>382</v>
      </c>
      <c r="B197" s="332">
        <v>217951.54116561209</v>
      </c>
      <c r="C197" s="332">
        <v>191227.37135469308</v>
      </c>
      <c r="D197" s="332">
        <v>166590.31894964998</v>
      </c>
      <c r="E197" s="332">
        <v>141715.54560763793</v>
      </c>
      <c r="F197" s="332">
        <v>126302.738044931</v>
      </c>
      <c r="G197" s="332">
        <v>37668.531997610698</v>
      </c>
    </row>
    <row r="198" spans="1:7" x14ac:dyDescent="0.3">
      <c r="A198" s="332" t="s">
        <v>386</v>
      </c>
      <c r="B198" s="332">
        <v>250289.55437215618</v>
      </c>
      <c r="C198" s="332">
        <v>219239.83401459811</v>
      </c>
      <c r="D198" s="332">
        <v>191574.21704218333</v>
      </c>
      <c r="E198" s="332">
        <v>162592.00774553831</v>
      </c>
      <c r="F198" s="332">
        <v>145256.72906353636</v>
      </c>
      <c r="G198" s="332">
        <v>45461.602348683162</v>
      </c>
    </row>
    <row r="199" spans="1:7" x14ac:dyDescent="0.3">
      <c r="A199" s="332" t="s">
        <v>387</v>
      </c>
      <c r="B199" s="332">
        <v>257557.68267507473</v>
      </c>
      <c r="C199" s="332">
        <v>225343.31271799543</v>
      </c>
      <c r="D199" s="332">
        <v>196039.77821829997</v>
      </c>
      <c r="E199" s="332">
        <v>166011.73072109194</v>
      </c>
      <c r="F199" s="332">
        <v>147636.73534428736</v>
      </c>
      <c r="G199" s="332">
        <v>45438.615338021038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8"/>
  <sheetViews>
    <sheetView topLeftCell="E1" workbookViewId="0">
      <selection activeCell="D7" sqref="D7"/>
    </sheetView>
  </sheetViews>
  <sheetFormatPr defaultRowHeight="15" x14ac:dyDescent="0.3"/>
  <cols>
    <col min="3" max="3" width="29.85546875" bestFit="1" customWidth="1"/>
    <col min="28" max="29" width="13.140625" bestFit="1" customWidth="1"/>
    <col min="32" max="32" width="13.140625" bestFit="1" customWidth="1"/>
    <col min="33" max="33" width="15.7109375" customWidth="1"/>
    <col min="34" max="34" width="17.85546875" customWidth="1"/>
    <col min="35" max="35" width="13.140625" bestFit="1" customWidth="1"/>
  </cols>
  <sheetData>
    <row r="1" spans="1:39" x14ac:dyDescent="0.3">
      <c r="B1" s="163"/>
      <c r="D1" s="164">
        <v>1</v>
      </c>
      <c r="E1" s="164">
        <v>2</v>
      </c>
      <c r="F1" s="164">
        <v>3</v>
      </c>
      <c r="G1" s="164">
        <v>4</v>
      </c>
      <c r="H1" s="164">
        <v>5</v>
      </c>
      <c r="I1" s="164">
        <v>6</v>
      </c>
      <c r="J1" s="164">
        <v>7</v>
      </c>
      <c r="K1" s="164">
        <v>8</v>
      </c>
      <c r="L1" s="164">
        <v>9</v>
      </c>
      <c r="M1" s="164">
        <v>10</v>
      </c>
      <c r="N1" s="164">
        <v>11</v>
      </c>
      <c r="O1" s="164">
        <v>12</v>
      </c>
      <c r="P1" s="164">
        <v>13</v>
      </c>
      <c r="Q1" s="164">
        <v>14</v>
      </c>
      <c r="R1" s="164">
        <v>15</v>
      </c>
      <c r="S1" s="164">
        <v>16</v>
      </c>
      <c r="T1" s="164">
        <v>17</v>
      </c>
      <c r="U1" s="164">
        <v>18</v>
      </c>
      <c r="V1" s="164">
        <v>19</v>
      </c>
      <c r="W1" s="164">
        <v>20</v>
      </c>
      <c r="X1" s="164">
        <v>21</v>
      </c>
      <c r="Y1" s="164">
        <v>22</v>
      </c>
      <c r="Z1" s="164">
        <v>23</v>
      </c>
      <c r="AA1" s="164">
        <v>24</v>
      </c>
      <c r="AB1" s="164">
        <v>25</v>
      </c>
      <c r="AC1" s="164">
        <v>26</v>
      </c>
      <c r="AD1" s="164">
        <v>27</v>
      </c>
      <c r="AE1" s="164">
        <v>28</v>
      </c>
      <c r="AF1" s="164">
        <v>29</v>
      </c>
      <c r="AG1" s="164">
        <v>30</v>
      </c>
      <c r="AH1" s="164">
        <v>31</v>
      </c>
      <c r="AI1" s="164">
        <v>32</v>
      </c>
    </row>
    <row r="2" spans="1:39" x14ac:dyDescent="0.3">
      <c r="A2" s="95"/>
      <c r="B2" s="96"/>
      <c r="C2" s="96"/>
      <c r="D2" s="109"/>
      <c r="E2" s="138" t="s">
        <v>508</v>
      </c>
      <c r="F2" s="139"/>
      <c r="G2" s="139"/>
      <c r="H2" s="139"/>
      <c r="I2" s="139"/>
      <c r="J2" s="139"/>
      <c r="K2" s="140"/>
      <c r="L2" s="211" t="s">
        <v>509</v>
      </c>
      <c r="M2" s="212"/>
      <c r="N2" s="212"/>
      <c r="O2" s="212"/>
      <c r="P2" s="212"/>
      <c r="Q2" s="96"/>
      <c r="R2" s="96"/>
      <c r="S2" s="138" t="s">
        <v>510</v>
      </c>
      <c r="T2" s="96"/>
      <c r="U2" s="96"/>
      <c r="V2" s="96"/>
      <c r="W2" s="96"/>
      <c r="X2" s="96"/>
      <c r="Y2" s="213"/>
      <c r="Z2" s="138" t="s">
        <v>510</v>
      </c>
      <c r="AA2" s="96"/>
      <c r="AB2" s="96"/>
      <c r="AC2" s="96"/>
      <c r="AD2" s="96"/>
      <c r="AE2" s="96"/>
      <c r="AF2" s="96"/>
      <c r="AG2" s="251" t="s">
        <v>331</v>
      </c>
      <c r="AH2" s="96"/>
      <c r="AI2" s="213"/>
    </row>
    <row r="3" spans="1:39" ht="25.5" x14ac:dyDescent="0.3">
      <c r="A3" s="99"/>
      <c r="B3" s="100"/>
      <c r="C3" s="105"/>
      <c r="D3" s="101" t="s">
        <v>303</v>
      </c>
      <c r="E3" s="146" t="s">
        <v>362</v>
      </c>
      <c r="F3" s="144" t="s">
        <v>304</v>
      </c>
      <c r="G3" s="142" t="s">
        <v>349</v>
      </c>
      <c r="H3" s="142" t="s">
        <v>308</v>
      </c>
      <c r="I3" s="142" t="s">
        <v>309</v>
      </c>
      <c r="J3" s="142" t="s">
        <v>310</v>
      </c>
      <c r="K3" s="143" t="s">
        <v>1</v>
      </c>
      <c r="L3" s="214" t="s">
        <v>362</v>
      </c>
      <c r="M3" s="215" t="s">
        <v>304</v>
      </c>
      <c r="N3" s="216" t="s">
        <v>349</v>
      </c>
      <c r="O3" s="216" t="s">
        <v>308</v>
      </c>
      <c r="P3" s="216" t="s">
        <v>309</v>
      </c>
      <c r="Q3" s="142" t="s">
        <v>310</v>
      </c>
      <c r="R3" s="145" t="s">
        <v>1</v>
      </c>
      <c r="S3" s="146" t="s">
        <v>362</v>
      </c>
      <c r="T3" s="144" t="s">
        <v>304</v>
      </c>
      <c r="U3" s="142" t="s">
        <v>349</v>
      </c>
      <c r="V3" s="142" t="s">
        <v>308</v>
      </c>
      <c r="W3" s="142" t="s">
        <v>309</v>
      </c>
      <c r="X3" s="142" t="s">
        <v>310</v>
      </c>
      <c r="Y3" s="143" t="s">
        <v>1</v>
      </c>
      <c r="Z3" s="146" t="s">
        <v>362</v>
      </c>
      <c r="AA3" s="144" t="s">
        <v>304</v>
      </c>
      <c r="AB3" s="142" t="s">
        <v>349</v>
      </c>
      <c r="AC3" s="142" t="s">
        <v>308</v>
      </c>
      <c r="AD3" s="142" t="s">
        <v>309</v>
      </c>
      <c r="AE3" s="142" t="s">
        <v>310</v>
      </c>
      <c r="AF3" s="145" t="s">
        <v>1</v>
      </c>
      <c r="AG3" s="141" t="s">
        <v>348</v>
      </c>
      <c r="AH3" s="142" t="s">
        <v>356</v>
      </c>
      <c r="AI3" s="143" t="s">
        <v>340</v>
      </c>
      <c r="AJ3" s="249" t="s">
        <v>419</v>
      </c>
      <c r="AK3" s="110"/>
    </row>
    <row r="4" spans="1:39" x14ac:dyDescent="0.3">
      <c r="A4" s="102">
        <v>1</v>
      </c>
      <c r="B4" s="103" t="s">
        <v>22</v>
      </c>
      <c r="C4" s="106" t="s">
        <v>23</v>
      </c>
      <c r="D4" s="104" t="s">
        <v>24</v>
      </c>
      <c r="E4" s="217">
        <v>1</v>
      </c>
      <c r="F4" s="218">
        <v>0</v>
      </c>
      <c r="G4" s="218">
        <v>6</v>
      </c>
      <c r="H4" s="218">
        <v>6</v>
      </c>
      <c r="I4" s="218">
        <v>0</v>
      </c>
      <c r="J4" s="219">
        <f>SUM(E4:I4)</f>
        <v>13</v>
      </c>
      <c r="K4" s="220">
        <v>16</v>
      </c>
      <c r="L4" s="221">
        <v>0</v>
      </c>
      <c r="M4" s="222">
        <v>0</v>
      </c>
      <c r="N4" s="222">
        <v>1</v>
      </c>
      <c r="O4" s="222">
        <v>-1</v>
      </c>
      <c r="P4" s="222">
        <v>0</v>
      </c>
      <c r="Q4" s="219">
        <f>SUM(L4:P4)</f>
        <v>0</v>
      </c>
      <c r="R4" s="222">
        <v>0</v>
      </c>
      <c r="S4" s="217">
        <v>1</v>
      </c>
      <c r="T4" s="218">
        <v>0</v>
      </c>
      <c r="U4" s="218">
        <v>7</v>
      </c>
      <c r="V4" s="218">
        <v>5</v>
      </c>
      <c r="W4" s="218">
        <v>0</v>
      </c>
      <c r="X4" s="219">
        <f>SUM(S4:W4)</f>
        <v>13</v>
      </c>
      <c r="Y4" s="220">
        <v>16</v>
      </c>
      <c r="Z4" s="247" t="e">
        <f>VLOOKUP($D4,#REF!, Z$1-21, FALSE)*S4</f>
        <v>#REF!</v>
      </c>
      <c r="AA4" s="218" t="e">
        <f>VLOOKUP($D4,#REF!, AA$1-21, FALSE)*T4</f>
        <v>#REF!</v>
      </c>
      <c r="AB4" s="218" t="e">
        <f>VLOOKUP($D4,#REF!, AB$1-21, FALSE)*U4</f>
        <v>#REF!</v>
      </c>
      <c r="AC4" s="218" t="e">
        <f>VLOOKUP($D4,#REF!, AC$1-21, FALSE)*V4</f>
        <v>#REF!</v>
      </c>
      <c r="AD4" s="218" t="e">
        <f>VLOOKUP($D4,#REF!, AD$1-21, FALSE)*W4</f>
        <v>#REF!</v>
      </c>
      <c r="AE4" s="219" t="e">
        <f>SUM(Z4:AD4)</f>
        <v>#REF!</v>
      </c>
      <c r="AF4" s="248" t="e">
        <f>VLOOKUP($D4,#REF!, AF$1-22, FALSE)*Y4</f>
        <v>#REF!</v>
      </c>
      <c r="AG4" s="217" t="e">
        <f>AE4</f>
        <v>#REF!</v>
      </c>
      <c r="AH4" s="218" t="e">
        <f>AF4</f>
        <v>#REF!</v>
      </c>
      <c r="AI4" s="220" t="e">
        <f>AG4+AH4</f>
        <v>#REF!</v>
      </c>
      <c r="AJ4" s="137">
        <v>3727407</v>
      </c>
      <c r="AK4" s="150" t="e">
        <f>AI4-AJ4</f>
        <v>#REF!</v>
      </c>
      <c r="AL4" s="111" t="e">
        <f>VLOOKUP($D4,#REF!,9,FALSE)-AG4</f>
        <v>#REF!</v>
      </c>
      <c r="AM4" s="111" t="e">
        <f>VLOOKUP($D4,#REF!,10,FALSE)-AH4</f>
        <v>#REF!</v>
      </c>
    </row>
    <row r="5" spans="1:39" x14ac:dyDescent="0.3">
      <c r="A5" s="102">
        <v>2</v>
      </c>
      <c r="B5" s="103" t="s">
        <v>25</v>
      </c>
      <c r="C5" s="93" t="s">
        <v>26</v>
      </c>
      <c r="D5" s="94" t="s">
        <v>27</v>
      </c>
      <c r="E5" s="223">
        <v>0</v>
      </c>
      <c r="F5" s="224">
        <v>0</v>
      </c>
      <c r="G5" s="224">
        <v>0</v>
      </c>
      <c r="H5" s="224">
        <v>0</v>
      </c>
      <c r="I5" s="224">
        <v>0</v>
      </c>
      <c r="J5" s="219">
        <f t="shared" ref="J5:J68" si="0">SUM(E5:I5)</f>
        <v>0</v>
      </c>
      <c r="K5" s="225">
        <v>2</v>
      </c>
      <c r="L5" s="221">
        <v>0</v>
      </c>
      <c r="M5" s="222">
        <v>0</v>
      </c>
      <c r="N5" s="222">
        <v>0</v>
      </c>
      <c r="O5" s="222">
        <v>0</v>
      </c>
      <c r="P5" s="222">
        <v>0</v>
      </c>
      <c r="Q5" s="219">
        <f t="shared" ref="Q5:Q68" si="1">SUM(L5:P5)</f>
        <v>0</v>
      </c>
      <c r="R5" s="222">
        <v>-1</v>
      </c>
      <c r="S5" s="223">
        <v>0</v>
      </c>
      <c r="T5" s="224">
        <v>0</v>
      </c>
      <c r="U5" s="224">
        <v>0</v>
      </c>
      <c r="V5" s="224">
        <v>0</v>
      </c>
      <c r="W5" s="224">
        <v>0</v>
      </c>
      <c r="X5" s="219">
        <f t="shared" ref="X5:X68" si="2">SUM(S5:W5)</f>
        <v>0</v>
      </c>
      <c r="Y5" s="225">
        <v>1</v>
      </c>
      <c r="Z5" s="247" t="e">
        <f>VLOOKUP($D5,#REF!, Z$1-21, FALSE)*S5</f>
        <v>#REF!</v>
      </c>
      <c r="AA5" s="218" t="e">
        <f>VLOOKUP($D5,#REF!, AA$1-21, FALSE)*T5</f>
        <v>#REF!</v>
      </c>
      <c r="AB5" s="218" t="e">
        <f>VLOOKUP($D5,#REF!, AB$1-21, FALSE)*U5</f>
        <v>#REF!</v>
      </c>
      <c r="AC5" s="218" t="e">
        <f>VLOOKUP($D5,#REF!, AC$1-21, FALSE)*V5</f>
        <v>#REF!</v>
      </c>
      <c r="AD5" s="218" t="e">
        <f>VLOOKUP($D5,#REF!, AD$1-21, FALSE)*W5</f>
        <v>#REF!</v>
      </c>
      <c r="AE5" s="219" t="e">
        <f>SUM(Z5:AD5)</f>
        <v>#REF!</v>
      </c>
      <c r="AF5" s="248" t="e">
        <f>VLOOKUP($D5,#REF!, AF$1-22, FALSE)*Y5</f>
        <v>#REF!</v>
      </c>
      <c r="AG5" s="223" t="e">
        <f t="shared" ref="AG5:AG68" si="3">AE5</f>
        <v>#REF!</v>
      </c>
      <c r="AH5" s="224" t="e">
        <f t="shared" ref="AH5:AH68" si="4">AF5</f>
        <v>#REF!</v>
      </c>
      <c r="AI5" s="225" t="e">
        <f t="shared" ref="AI5:AI68" si="5">AG5+AH5</f>
        <v>#REF!</v>
      </c>
      <c r="AJ5" s="137">
        <v>184348</v>
      </c>
      <c r="AK5" s="150" t="e">
        <f t="shared" ref="AK5:AK68" si="6">AI5-AJ5</f>
        <v>#REF!</v>
      </c>
      <c r="AL5" s="111" t="e">
        <f>VLOOKUP($D5,#REF!,9,FALSE)-AG5</f>
        <v>#REF!</v>
      </c>
      <c r="AM5" s="111" t="e">
        <f>VLOOKUP($D5,#REF!,10,FALSE)-AH5</f>
        <v>#REF!</v>
      </c>
    </row>
    <row r="6" spans="1:39" x14ac:dyDescent="0.3">
      <c r="A6" s="102">
        <v>3</v>
      </c>
      <c r="B6" s="103" t="s">
        <v>402</v>
      </c>
      <c r="C6" s="93" t="s">
        <v>28</v>
      </c>
      <c r="D6" s="94" t="s">
        <v>29</v>
      </c>
      <c r="E6" s="223">
        <v>0</v>
      </c>
      <c r="F6" s="224">
        <v>0</v>
      </c>
      <c r="G6" s="224">
        <v>2</v>
      </c>
      <c r="H6" s="224">
        <v>0</v>
      </c>
      <c r="I6" s="224">
        <v>0</v>
      </c>
      <c r="J6" s="219">
        <f t="shared" si="0"/>
        <v>2</v>
      </c>
      <c r="K6" s="225">
        <v>3</v>
      </c>
      <c r="L6" s="221">
        <v>0</v>
      </c>
      <c r="M6" s="222">
        <v>0</v>
      </c>
      <c r="N6" s="222">
        <v>0</v>
      </c>
      <c r="O6" s="222">
        <v>0</v>
      </c>
      <c r="P6" s="222">
        <v>0</v>
      </c>
      <c r="Q6" s="219">
        <f t="shared" si="1"/>
        <v>0</v>
      </c>
      <c r="R6" s="222">
        <v>0</v>
      </c>
      <c r="S6" s="223">
        <v>0</v>
      </c>
      <c r="T6" s="224">
        <v>0</v>
      </c>
      <c r="U6" s="224">
        <v>2</v>
      </c>
      <c r="V6" s="224">
        <v>0</v>
      </c>
      <c r="W6" s="224">
        <v>0</v>
      </c>
      <c r="X6" s="219">
        <f t="shared" si="2"/>
        <v>2</v>
      </c>
      <c r="Y6" s="225">
        <v>3</v>
      </c>
      <c r="Z6" s="247" t="e">
        <f>VLOOKUP($D6,#REF!, Z$1-21, FALSE)*S6</f>
        <v>#REF!</v>
      </c>
      <c r="AA6" s="218" t="e">
        <f>VLOOKUP($D6,#REF!, AA$1-21, FALSE)*T6</f>
        <v>#REF!</v>
      </c>
      <c r="AB6" s="218" t="e">
        <f>VLOOKUP($D6,#REF!, AB$1-21, FALSE)*U6</f>
        <v>#REF!</v>
      </c>
      <c r="AC6" s="218" t="e">
        <f>VLOOKUP($D6,#REF!, AC$1-21, FALSE)*V6</f>
        <v>#REF!</v>
      </c>
      <c r="AD6" s="218" t="e">
        <f>VLOOKUP($D6,#REF!, AD$1-21, FALSE)*W6</f>
        <v>#REF!</v>
      </c>
      <c r="AE6" s="219" t="e">
        <f>SUM(Z6:AD6)</f>
        <v>#REF!</v>
      </c>
      <c r="AF6" s="248" t="e">
        <f>VLOOKUP($D6,#REF!, AF$1-22, FALSE)*Y6</f>
        <v>#REF!</v>
      </c>
      <c r="AG6" s="223" t="e">
        <f t="shared" si="3"/>
        <v>#REF!</v>
      </c>
      <c r="AH6" s="224" t="e">
        <f t="shared" si="4"/>
        <v>#REF!</v>
      </c>
      <c r="AI6" s="225" t="e">
        <f t="shared" si="5"/>
        <v>#REF!</v>
      </c>
      <c r="AJ6" s="137">
        <v>547511</v>
      </c>
      <c r="AK6" s="150" t="e">
        <f t="shared" si="6"/>
        <v>#REF!</v>
      </c>
      <c r="AL6" s="111" t="e">
        <f>VLOOKUP($D6,#REF!,9,FALSE)-AG6</f>
        <v>#REF!</v>
      </c>
      <c r="AM6" s="111" t="e">
        <f>VLOOKUP($D6,#REF!,10,FALSE)-AH6</f>
        <v>#REF!</v>
      </c>
    </row>
    <row r="7" spans="1:39" x14ac:dyDescent="0.3">
      <c r="A7" s="102">
        <v>4</v>
      </c>
      <c r="B7" s="103" t="s">
        <v>363</v>
      </c>
      <c r="C7" s="107" t="s">
        <v>30</v>
      </c>
      <c r="D7" s="94" t="s">
        <v>31</v>
      </c>
      <c r="E7" s="223">
        <v>0</v>
      </c>
      <c r="F7" s="224">
        <v>0</v>
      </c>
      <c r="G7" s="224">
        <v>1</v>
      </c>
      <c r="H7" s="224">
        <v>1</v>
      </c>
      <c r="I7" s="224">
        <v>0</v>
      </c>
      <c r="J7" s="219">
        <f t="shared" si="0"/>
        <v>2</v>
      </c>
      <c r="K7" s="225">
        <v>3</v>
      </c>
      <c r="L7" s="221">
        <v>0</v>
      </c>
      <c r="M7" s="222">
        <v>0</v>
      </c>
      <c r="N7" s="222">
        <v>-1</v>
      </c>
      <c r="O7" s="222">
        <v>0</v>
      </c>
      <c r="P7" s="222">
        <v>0</v>
      </c>
      <c r="Q7" s="219">
        <f t="shared" si="1"/>
        <v>-1</v>
      </c>
      <c r="R7" s="222">
        <v>0</v>
      </c>
      <c r="S7" s="223">
        <v>0</v>
      </c>
      <c r="T7" s="224">
        <v>0</v>
      </c>
      <c r="U7" s="224">
        <v>0</v>
      </c>
      <c r="V7" s="224">
        <v>1</v>
      </c>
      <c r="W7" s="224">
        <v>0</v>
      </c>
      <c r="X7" s="219">
        <f t="shared" si="2"/>
        <v>1</v>
      </c>
      <c r="Y7" s="225">
        <v>3</v>
      </c>
      <c r="Z7" s="247" t="e">
        <f>VLOOKUP($D7,#REF!, Z$1-21, FALSE)*S7</f>
        <v>#REF!</v>
      </c>
      <c r="AA7" s="218" t="e">
        <f>VLOOKUP($D7,#REF!, AA$1-21, FALSE)*T7</f>
        <v>#REF!</v>
      </c>
      <c r="AB7" s="218" t="e">
        <f>VLOOKUP($D7,#REF!, AB$1-21, FALSE)*U7</f>
        <v>#REF!</v>
      </c>
      <c r="AC7" s="218" t="e">
        <f>VLOOKUP($D7,#REF!, AC$1-21, FALSE)*V7</f>
        <v>#REF!</v>
      </c>
      <c r="AD7" s="218" t="e">
        <f>VLOOKUP($D7,#REF!, AD$1-21, FALSE)*W7</f>
        <v>#REF!</v>
      </c>
      <c r="AE7" s="219" t="e">
        <f>SUM(Z7:AD7)</f>
        <v>#REF!</v>
      </c>
      <c r="AF7" s="248" t="e">
        <f>VLOOKUP($D7,#REF!, AF$1-22, FALSE)*Y7</f>
        <v>#REF!</v>
      </c>
      <c r="AG7" s="223" t="e">
        <f t="shared" si="3"/>
        <v>#REF!</v>
      </c>
      <c r="AH7" s="224" t="e">
        <f t="shared" si="4"/>
        <v>#REF!</v>
      </c>
      <c r="AI7" s="225" t="e">
        <f t="shared" si="5"/>
        <v>#REF!</v>
      </c>
      <c r="AJ7" s="137">
        <v>612716</v>
      </c>
      <c r="AK7" s="150" t="e">
        <f t="shared" si="6"/>
        <v>#REF!</v>
      </c>
      <c r="AL7" s="111" t="e">
        <f>VLOOKUP($D7,#REF!,9,FALSE)-AG7</f>
        <v>#REF!</v>
      </c>
      <c r="AM7" s="111" t="e">
        <f>VLOOKUP($D7,#REF!,10,FALSE)-AH7</f>
        <v>#REF!</v>
      </c>
    </row>
    <row r="8" spans="1:39" x14ac:dyDescent="0.3">
      <c r="A8" s="102">
        <v>5</v>
      </c>
      <c r="B8" s="103" t="s">
        <v>32</v>
      </c>
      <c r="C8" s="93" t="s">
        <v>33</v>
      </c>
      <c r="D8" s="94" t="s">
        <v>34</v>
      </c>
      <c r="E8" s="223">
        <v>0</v>
      </c>
      <c r="F8" s="224">
        <v>0</v>
      </c>
      <c r="G8" s="224">
        <v>1</v>
      </c>
      <c r="H8" s="224">
        <v>0</v>
      </c>
      <c r="I8" s="224">
        <v>0</v>
      </c>
      <c r="J8" s="219">
        <f t="shared" si="0"/>
        <v>1</v>
      </c>
      <c r="K8" s="225">
        <v>2</v>
      </c>
      <c r="L8" s="221">
        <v>0</v>
      </c>
      <c r="M8" s="222">
        <v>0</v>
      </c>
      <c r="N8" s="222">
        <v>0</v>
      </c>
      <c r="O8" s="222">
        <v>0</v>
      </c>
      <c r="P8" s="222">
        <v>0</v>
      </c>
      <c r="Q8" s="219">
        <f t="shared" si="1"/>
        <v>0</v>
      </c>
      <c r="R8" s="222">
        <v>0</v>
      </c>
      <c r="S8" s="223">
        <v>0</v>
      </c>
      <c r="T8" s="224">
        <v>0</v>
      </c>
      <c r="U8" s="224">
        <v>1</v>
      </c>
      <c r="V8" s="224">
        <v>0</v>
      </c>
      <c r="W8" s="224">
        <v>0</v>
      </c>
      <c r="X8" s="219">
        <f t="shared" si="2"/>
        <v>1</v>
      </c>
      <c r="Y8" s="225">
        <v>2</v>
      </c>
      <c r="Z8" s="247" t="e">
        <f>VLOOKUP($D8,#REF!, Z$1-21, FALSE)*S8</f>
        <v>#REF!</v>
      </c>
      <c r="AA8" s="218" t="e">
        <f>VLOOKUP($D8,#REF!, AA$1-21, FALSE)*T8</f>
        <v>#REF!</v>
      </c>
      <c r="AB8" s="218" t="e">
        <f>VLOOKUP($D8,#REF!, AB$1-21, FALSE)*U8</f>
        <v>#REF!</v>
      </c>
      <c r="AC8" s="218" t="e">
        <f>VLOOKUP($D8,#REF!, AC$1-21, FALSE)*V8</f>
        <v>#REF!</v>
      </c>
      <c r="AD8" s="218" t="e">
        <f>VLOOKUP($D8,#REF!, AD$1-21, FALSE)*W8</f>
        <v>#REF!</v>
      </c>
      <c r="AE8" s="219" t="e">
        <f t="shared" ref="AE8:AE71" si="7">SUM(Z8:AD8)</f>
        <v>#REF!</v>
      </c>
      <c r="AF8" s="248" t="e">
        <f>VLOOKUP($D8,#REF!, AF$1-22, FALSE)*Y8</f>
        <v>#REF!</v>
      </c>
      <c r="AG8" s="223" t="e">
        <f t="shared" si="3"/>
        <v>#REF!</v>
      </c>
      <c r="AH8" s="224" t="e">
        <f t="shared" si="4"/>
        <v>#REF!</v>
      </c>
      <c r="AI8" s="225" t="e">
        <f t="shared" si="5"/>
        <v>#REF!</v>
      </c>
      <c r="AJ8" s="137">
        <v>292628</v>
      </c>
      <c r="AK8" s="150" t="e">
        <f t="shared" si="6"/>
        <v>#REF!</v>
      </c>
      <c r="AL8" s="111" t="e">
        <f>VLOOKUP($D8,#REF!,9,FALSE)-AG8</f>
        <v>#REF!</v>
      </c>
      <c r="AM8" s="111" t="e">
        <f>VLOOKUP($D8,#REF!,10,FALSE)-AH8</f>
        <v>#REF!</v>
      </c>
    </row>
    <row r="9" spans="1:39" x14ac:dyDescent="0.3">
      <c r="A9" s="102">
        <v>6</v>
      </c>
      <c r="B9" s="103" t="s">
        <v>35</v>
      </c>
      <c r="C9" s="93" t="s">
        <v>36</v>
      </c>
      <c r="D9" s="94" t="s">
        <v>37</v>
      </c>
      <c r="E9" s="223">
        <v>0</v>
      </c>
      <c r="F9" s="224">
        <v>0</v>
      </c>
      <c r="G9" s="224">
        <v>1</v>
      </c>
      <c r="H9" s="224">
        <v>0</v>
      </c>
      <c r="I9" s="224">
        <v>0</v>
      </c>
      <c r="J9" s="219">
        <f t="shared" si="0"/>
        <v>1</v>
      </c>
      <c r="K9" s="225">
        <v>2</v>
      </c>
      <c r="L9" s="221">
        <v>0</v>
      </c>
      <c r="M9" s="222">
        <v>0</v>
      </c>
      <c r="N9" s="222">
        <v>0</v>
      </c>
      <c r="O9" s="222">
        <v>0</v>
      </c>
      <c r="P9" s="222">
        <v>0</v>
      </c>
      <c r="Q9" s="219">
        <f t="shared" si="1"/>
        <v>0</v>
      </c>
      <c r="R9" s="222">
        <v>0</v>
      </c>
      <c r="S9" s="223">
        <v>0</v>
      </c>
      <c r="T9" s="224">
        <v>0</v>
      </c>
      <c r="U9" s="224">
        <v>1</v>
      </c>
      <c r="V9" s="224">
        <v>0</v>
      </c>
      <c r="W9" s="224">
        <v>0</v>
      </c>
      <c r="X9" s="219">
        <f t="shared" si="2"/>
        <v>1</v>
      </c>
      <c r="Y9" s="225">
        <v>2</v>
      </c>
      <c r="Z9" s="247" t="e">
        <f>VLOOKUP($D9,#REF!, Z$1-21, FALSE)*S9</f>
        <v>#REF!</v>
      </c>
      <c r="AA9" s="218" t="e">
        <f>VLOOKUP($D9,#REF!, AA$1-21, FALSE)*T9</f>
        <v>#REF!</v>
      </c>
      <c r="AB9" s="218" t="e">
        <f>VLOOKUP($D9,#REF!, AB$1-21, FALSE)*U9</f>
        <v>#REF!</v>
      </c>
      <c r="AC9" s="218" t="e">
        <f>VLOOKUP($D9,#REF!, AC$1-21, FALSE)*V9</f>
        <v>#REF!</v>
      </c>
      <c r="AD9" s="218" t="e">
        <f>VLOOKUP($D9,#REF!, AD$1-21, FALSE)*W9</f>
        <v>#REF!</v>
      </c>
      <c r="AE9" s="219" t="e">
        <f t="shared" si="7"/>
        <v>#REF!</v>
      </c>
      <c r="AF9" s="248" t="e">
        <f>VLOOKUP($D9,#REF!, AF$1-22, FALSE)*Y9</f>
        <v>#REF!</v>
      </c>
      <c r="AG9" s="223" t="e">
        <f t="shared" si="3"/>
        <v>#REF!</v>
      </c>
      <c r="AH9" s="224" t="e">
        <f t="shared" si="4"/>
        <v>#REF!</v>
      </c>
      <c r="AI9" s="225" t="e">
        <f t="shared" si="5"/>
        <v>#REF!</v>
      </c>
      <c r="AJ9" s="137">
        <v>221478</v>
      </c>
      <c r="AK9" s="150" t="e">
        <f t="shared" si="6"/>
        <v>#REF!</v>
      </c>
      <c r="AL9" s="111" t="e">
        <f>VLOOKUP($D9,#REF!,9,FALSE)-AG9</f>
        <v>#REF!</v>
      </c>
      <c r="AM9" s="111" t="e">
        <f>VLOOKUP($D9,#REF!,10,FALSE)-AH9</f>
        <v>#REF!</v>
      </c>
    </row>
    <row r="10" spans="1:39" x14ac:dyDescent="0.3">
      <c r="A10" s="102">
        <v>7</v>
      </c>
      <c r="B10" s="103" t="s">
        <v>38</v>
      </c>
      <c r="C10" s="93" t="s">
        <v>39</v>
      </c>
      <c r="D10" s="94" t="s">
        <v>40</v>
      </c>
      <c r="E10" s="223">
        <v>0</v>
      </c>
      <c r="F10" s="224">
        <v>0</v>
      </c>
      <c r="G10" s="224">
        <v>1</v>
      </c>
      <c r="H10" s="224">
        <v>0</v>
      </c>
      <c r="I10" s="224">
        <v>0</v>
      </c>
      <c r="J10" s="219">
        <f t="shared" si="0"/>
        <v>1</v>
      </c>
      <c r="K10" s="225">
        <v>2</v>
      </c>
      <c r="L10" s="221">
        <v>0</v>
      </c>
      <c r="M10" s="222">
        <v>0</v>
      </c>
      <c r="N10" s="222">
        <v>0</v>
      </c>
      <c r="O10" s="222">
        <v>0</v>
      </c>
      <c r="P10" s="222">
        <v>0</v>
      </c>
      <c r="Q10" s="219">
        <f t="shared" si="1"/>
        <v>0</v>
      </c>
      <c r="R10" s="222">
        <v>0</v>
      </c>
      <c r="S10" s="223">
        <v>0</v>
      </c>
      <c r="T10" s="224">
        <v>0</v>
      </c>
      <c r="U10" s="224">
        <v>1</v>
      </c>
      <c r="V10" s="224">
        <v>0</v>
      </c>
      <c r="W10" s="224">
        <v>0</v>
      </c>
      <c r="X10" s="219">
        <f t="shared" si="2"/>
        <v>1</v>
      </c>
      <c r="Y10" s="225">
        <v>2</v>
      </c>
      <c r="Z10" s="247" t="e">
        <f>VLOOKUP($D10,#REF!, Z$1-21, FALSE)*S10</f>
        <v>#REF!</v>
      </c>
      <c r="AA10" s="218" t="e">
        <f>VLOOKUP($D10,#REF!, AA$1-21, FALSE)*T10</f>
        <v>#REF!</v>
      </c>
      <c r="AB10" s="218" t="e">
        <f>VLOOKUP($D10,#REF!, AB$1-21, FALSE)*U10</f>
        <v>#REF!</v>
      </c>
      <c r="AC10" s="218" t="e">
        <f>VLOOKUP($D10,#REF!, AC$1-21, FALSE)*V10</f>
        <v>#REF!</v>
      </c>
      <c r="AD10" s="218" t="e">
        <f>VLOOKUP($D10,#REF!, AD$1-21, FALSE)*W10</f>
        <v>#REF!</v>
      </c>
      <c r="AE10" s="219" t="e">
        <f t="shared" si="7"/>
        <v>#REF!</v>
      </c>
      <c r="AF10" s="248" t="e">
        <f>VLOOKUP($D10,#REF!, AF$1-22, FALSE)*Y10</f>
        <v>#REF!</v>
      </c>
      <c r="AG10" s="223" t="e">
        <f t="shared" si="3"/>
        <v>#REF!</v>
      </c>
      <c r="AH10" s="224" t="e">
        <f t="shared" si="4"/>
        <v>#REF!</v>
      </c>
      <c r="AI10" s="225" t="e">
        <f t="shared" si="5"/>
        <v>#REF!</v>
      </c>
      <c r="AJ10" s="137">
        <v>296078</v>
      </c>
      <c r="AK10" s="150" t="e">
        <f t="shared" si="6"/>
        <v>#REF!</v>
      </c>
      <c r="AL10" s="111" t="e">
        <f>VLOOKUP($D10,#REF!,9,FALSE)-AG10</f>
        <v>#REF!</v>
      </c>
      <c r="AM10" s="111" t="e">
        <f>VLOOKUP($D10,#REF!,10,FALSE)-AH10</f>
        <v>#REF!</v>
      </c>
    </row>
    <row r="11" spans="1:39" x14ac:dyDescent="0.3">
      <c r="A11" s="102">
        <v>8</v>
      </c>
      <c r="B11" s="103" t="s">
        <v>41</v>
      </c>
      <c r="C11" s="93" t="s">
        <v>42</v>
      </c>
      <c r="D11" s="94" t="s">
        <v>43</v>
      </c>
      <c r="E11" s="223">
        <v>0</v>
      </c>
      <c r="F11" s="224">
        <v>0</v>
      </c>
      <c r="G11" s="224">
        <v>1</v>
      </c>
      <c r="H11" s="224">
        <v>1</v>
      </c>
      <c r="I11" s="224">
        <v>0</v>
      </c>
      <c r="J11" s="219">
        <f t="shared" si="0"/>
        <v>2</v>
      </c>
      <c r="K11" s="225">
        <v>3</v>
      </c>
      <c r="L11" s="221">
        <v>0</v>
      </c>
      <c r="M11" s="222">
        <v>0</v>
      </c>
      <c r="N11" s="222">
        <v>0</v>
      </c>
      <c r="O11" s="222">
        <v>0</v>
      </c>
      <c r="P11" s="222">
        <v>0</v>
      </c>
      <c r="Q11" s="219">
        <f t="shared" si="1"/>
        <v>0</v>
      </c>
      <c r="R11" s="222">
        <v>0</v>
      </c>
      <c r="S11" s="223">
        <v>0</v>
      </c>
      <c r="T11" s="224">
        <v>0</v>
      </c>
      <c r="U11" s="224">
        <v>1</v>
      </c>
      <c r="V11" s="224">
        <v>1</v>
      </c>
      <c r="W11" s="224">
        <v>0</v>
      </c>
      <c r="X11" s="219">
        <f t="shared" si="2"/>
        <v>2</v>
      </c>
      <c r="Y11" s="225">
        <v>3</v>
      </c>
      <c r="Z11" s="247" t="e">
        <f>VLOOKUP($D11,#REF!, Z$1-21, FALSE)*S11</f>
        <v>#REF!</v>
      </c>
      <c r="AA11" s="218" t="e">
        <f>VLOOKUP($D11,#REF!, AA$1-21, FALSE)*T11</f>
        <v>#REF!</v>
      </c>
      <c r="AB11" s="218" t="e">
        <f>VLOOKUP($D11,#REF!, AB$1-21, FALSE)*U11</f>
        <v>#REF!</v>
      </c>
      <c r="AC11" s="218" t="e">
        <f>VLOOKUP($D11,#REF!, AC$1-21, FALSE)*V11</f>
        <v>#REF!</v>
      </c>
      <c r="AD11" s="218" t="e">
        <f>VLOOKUP($D11,#REF!, AD$1-21, FALSE)*W11</f>
        <v>#REF!</v>
      </c>
      <c r="AE11" s="219" t="e">
        <f t="shared" si="7"/>
        <v>#REF!</v>
      </c>
      <c r="AF11" s="248" t="e">
        <f>VLOOKUP($D11,#REF!, AF$1-22, FALSE)*Y11</f>
        <v>#REF!</v>
      </c>
      <c r="AG11" s="223" t="e">
        <f t="shared" si="3"/>
        <v>#REF!</v>
      </c>
      <c r="AH11" s="224" t="e">
        <f t="shared" si="4"/>
        <v>#REF!</v>
      </c>
      <c r="AI11" s="225" t="e">
        <f t="shared" si="5"/>
        <v>#REF!</v>
      </c>
      <c r="AJ11" s="137">
        <v>455285</v>
      </c>
      <c r="AK11" s="150" t="e">
        <f t="shared" si="6"/>
        <v>#REF!</v>
      </c>
      <c r="AL11" s="111" t="e">
        <f>VLOOKUP($D11,#REF!,9,FALSE)-AG11</f>
        <v>#REF!</v>
      </c>
      <c r="AM11" s="111" t="e">
        <f>VLOOKUP($D11,#REF!,10,FALSE)-AH11</f>
        <v>#REF!</v>
      </c>
    </row>
    <row r="12" spans="1:39" x14ac:dyDescent="0.3">
      <c r="A12" s="102">
        <v>9</v>
      </c>
      <c r="B12" s="103" t="s">
        <v>44</v>
      </c>
      <c r="C12" s="93" t="s">
        <v>45</v>
      </c>
      <c r="D12" s="94" t="s">
        <v>46</v>
      </c>
      <c r="E12" s="223">
        <v>0</v>
      </c>
      <c r="F12" s="224">
        <v>0</v>
      </c>
      <c r="G12" s="224">
        <v>1</v>
      </c>
      <c r="H12" s="224">
        <v>0</v>
      </c>
      <c r="I12" s="224">
        <v>0</v>
      </c>
      <c r="J12" s="219">
        <f t="shared" si="0"/>
        <v>1</v>
      </c>
      <c r="K12" s="225">
        <v>2</v>
      </c>
      <c r="L12" s="221">
        <v>0</v>
      </c>
      <c r="M12" s="222">
        <v>0</v>
      </c>
      <c r="N12" s="222">
        <v>0</v>
      </c>
      <c r="O12" s="222">
        <v>0</v>
      </c>
      <c r="P12" s="222">
        <v>0</v>
      </c>
      <c r="Q12" s="219">
        <f t="shared" si="1"/>
        <v>0</v>
      </c>
      <c r="R12" s="222">
        <v>0</v>
      </c>
      <c r="S12" s="223">
        <v>0</v>
      </c>
      <c r="T12" s="224">
        <v>0</v>
      </c>
      <c r="U12" s="224">
        <v>1</v>
      </c>
      <c r="V12" s="224">
        <v>0</v>
      </c>
      <c r="W12" s="224">
        <v>0</v>
      </c>
      <c r="X12" s="219">
        <f t="shared" si="2"/>
        <v>1</v>
      </c>
      <c r="Y12" s="225">
        <v>2</v>
      </c>
      <c r="Z12" s="247" t="e">
        <f>VLOOKUP($D12,#REF!, Z$1-21, FALSE)*S12</f>
        <v>#REF!</v>
      </c>
      <c r="AA12" s="218" t="e">
        <f>VLOOKUP($D12,#REF!, AA$1-21, FALSE)*T12</f>
        <v>#REF!</v>
      </c>
      <c r="AB12" s="218" t="e">
        <f>VLOOKUP($D12,#REF!, AB$1-21, FALSE)*U12</f>
        <v>#REF!</v>
      </c>
      <c r="AC12" s="218" t="e">
        <f>VLOOKUP($D12,#REF!, AC$1-21, FALSE)*V12</f>
        <v>#REF!</v>
      </c>
      <c r="AD12" s="218" t="e">
        <f>VLOOKUP($D12,#REF!, AD$1-21, FALSE)*W12</f>
        <v>#REF!</v>
      </c>
      <c r="AE12" s="219" t="e">
        <f t="shared" si="7"/>
        <v>#REF!</v>
      </c>
      <c r="AF12" s="248" t="e">
        <f>VLOOKUP($D12,#REF!, AF$1-22, FALSE)*Y12</f>
        <v>#REF!</v>
      </c>
      <c r="AG12" s="223" t="e">
        <f t="shared" si="3"/>
        <v>#REF!</v>
      </c>
      <c r="AH12" s="224" t="e">
        <f t="shared" si="4"/>
        <v>#REF!</v>
      </c>
      <c r="AI12" s="225" t="e">
        <f t="shared" si="5"/>
        <v>#REF!</v>
      </c>
      <c r="AJ12" s="137">
        <v>273962</v>
      </c>
      <c r="AK12" s="150" t="e">
        <f t="shared" si="6"/>
        <v>#REF!</v>
      </c>
      <c r="AL12" s="111" t="e">
        <f>VLOOKUP($D12,#REF!,9,FALSE)-AG12</f>
        <v>#REF!</v>
      </c>
      <c r="AM12" s="111" t="e">
        <f>VLOOKUP($D12,#REF!,10,FALSE)-AH12</f>
        <v>#REF!</v>
      </c>
    </row>
    <row r="13" spans="1:39" x14ac:dyDescent="0.3">
      <c r="A13" s="102">
        <v>10</v>
      </c>
      <c r="B13" s="103" t="s">
        <v>47</v>
      </c>
      <c r="C13" s="93" t="s">
        <v>48</v>
      </c>
      <c r="D13" s="94" t="s">
        <v>49</v>
      </c>
      <c r="E13" s="223">
        <v>0</v>
      </c>
      <c r="F13" s="224">
        <v>0</v>
      </c>
      <c r="G13" s="224">
        <v>1</v>
      </c>
      <c r="H13" s="224">
        <v>0</v>
      </c>
      <c r="I13" s="224">
        <v>0</v>
      </c>
      <c r="J13" s="219">
        <f t="shared" si="0"/>
        <v>1</v>
      </c>
      <c r="K13" s="225">
        <v>2</v>
      </c>
      <c r="L13" s="221">
        <v>0</v>
      </c>
      <c r="M13" s="222">
        <v>0</v>
      </c>
      <c r="N13" s="222">
        <v>0</v>
      </c>
      <c r="O13" s="222">
        <v>0</v>
      </c>
      <c r="P13" s="222">
        <v>0</v>
      </c>
      <c r="Q13" s="219">
        <f t="shared" si="1"/>
        <v>0</v>
      </c>
      <c r="R13" s="222">
        <v>0</v>
      </c>
      <c r="S13" s="223">
        <v>0</v>
      </c>
      <c r="T13" s="224">
        <v>0</v>
      </c>
      <c r="U13" s="224">
        <v>1</v>
      </c>
      <c r="V13" s="224">
        <v>0</v>
      </c>
      <c r="W13" s="224">
        <v>0</v>
      </c>
      <c r="X13" s="219">
        <f t="shared" si="2"/>
        <v>1</v>
      </c>
      <c r="Y13" s="225">
        <v>2</v>
      </c>
      <c r="Z13" s="247" t="e">
        <f>VLOOKUP($D13,#REF!, Z$1-21, FALSE)*S13</f>
        <v>#REF!</v>
      </c>
      <c r="AA13" s="218" t="e">
        <f>VLOOKUP($D13,#REF!, AA$1-21, FALSE)*T13</f>
        <v>#REF!</v>
      </c>
      <c r="AB13" s="218" t="e">
        <f>VLOOKUP($D13,#REF!, AB$1-21, FALSE)*U13</f>
        <v>#REF!</v>
      </c>
      <c r="AC13" s="218" t="e">
        <f>VLOOKUP($D13,#REF!, AC$1-21, FALSE)*V13</f>
        <v>#REF!</v>
      </c>
      <c r="AD13" s="218" t="e">
        <f>VLOOKUP($D13,#REF!, AD$1-21, FALSE)*W13</f>
        <v>#REF!</v>
      </c>
      <c r="AE13" s="219" t="e">
        <f t="shared" si="7"/>
        <v>#REF!</v>
      </c>
      <c r="AF13" s="248" t="e">
        <f>VLOOKUP($D13,#REF!, AF$1-22, FALSE)*Y13</f>
        <v>#REF!</v>
      </c>
      <c r="AG13" s="223" t="e">
        <f t="shared" si="3"/>
        <v>#REF!</v>
      </c>
      <c r="AH13" s="224" t="e">
        <f t="shared" si="4"/>
        <v>#REF!</v>
      </c>
      <c r="AI13" s="225" t="e">
        <f t="shared" si="5"/>
        <v>#REF!</v>
      </c>
      <c r="AJ13" s="137">
        <v>254637</v>
      </c>
      <c r="AK13" s="150" t="e">
        <f t="shared" si="6"/>
        <v>#REF!</v>
      </c>
      <c r="AL13" s="111" t="e">
        <f>VLOOKUP($D13,#REF!,9,FALSE)-AG13</f>
        <v>#REF!</v>
      </c>
      <c r="AM13" s="111" t="e">
        <f>VLOOKUP($D13,#REF!,10,FALSE)-AH13</f>
        <v>#REF!</v>
      </c>
    </row>
    <row r="14" spans="1:39" x14ac:dyDescent="0.3">
      <c r="A14" s="102">
        <v>11</v>
      </c>
      <c r="B14" s="103" t="s">
        <v>414</v>
      </c>
      <c r="C14" s="93" t="s">
        <v>51</v>
      </c>
      <c r="D14" s="94" t="s">
        <v>52</v>
      </c>
      <c r="E14" s="223">
        <v>0</v>
      </c>
      <c r="F14" s="224">
        <v>0</v>
      </c>
      <c r="G14" s="224">
        <v>1</v>
      </c>
      <c r="H14" s="224">
        <v>0</v>
      </c>
      <c r="I14" s="224">
        <v>0</v>
      </c>
      <c r="J14" s="219">
        <f t="shared" si="0"/>
        <v>1</v>
      </c>
      <c r="K14" s="225">
        <v>2</v>
      </c>
      <c r="L14" s="221">
        <v>0</v>
      </c>
      <c r="M14" s="222">
        <v>0</v>
      </c>
      <c r="N14" s="222">
        <v>0</v>
      </c>
      <c r="O14" s="222">
        <v>0</v>
      </c>
      <c r="P14" s="222">
        <v>0</v>
      </c>
      <c r="Q14" s="219">
        <f t="shared" si="1"/>
        <v>0</v>
      </c>
      <c r="R14" s="222">
        <v>0</v>
      </c>
      <c r="S14" s="223">
        <v>0</v>
      </c>
      <c r="T14" s="224">
        <v>0</v>
      </c>
      <c r="U14" s="224">
        <v>1</v>
      </c>
      <c r="V14" s="224">
        <v>0</v>
      </c>
      <c r="W14" s="224">
        <v>0</v>
      </c>
      <c r="X14" s="219">
        <f t="shared" si="2"/>
        <v>1</v>
      </c>
      <c r="Y14" s="225">
        <v>2</v>
      </c>
      <c r="Z14" s="247" t="e">
        <f>VLOOKUP($D14,#REF!, Z$1-21, FALSE)*S14</f>
        <v>#REF!</v>
      </c>
      <c r="AA14" s="218" t="e">
        <f>VLOOKUP($D14,#REF!, AA$1-21, FALSE)*T14</f>
        <v>#REF!</v>
      </c>
      <c r="AB14" s="218" t="e">
        <f>VLOOKUP($D14,#REF!, AB$1-21, FALSE)*U14</f>
        <v>#REF!</v>
      </c>
      <c r="AC14" s="218" t="e">
        <f>VLOOKUP($D14,#REF!, AC$1-21, FALSE)*V14</f>
        <v>#REF!</v>
      </c>
      <c r="AD14" s="218" t="e">
        <f>VLOOKUP($D14,#REF!, AD$1-21, FALSE)*W14</f>
        <v>#REF!</v>
      </c>
      <c r="AE14" s="219" t="e">
        <f t="shared" si="7"/>
        <v>#REF!</v>
      </c>
      <c r="AF14" s="248" t="e">
        <f>VLOOKUP($D14,#REF!, AF$1-22, FALSE)*Y14</f>
        <v>#REF!</v>
      </c>
      <c r="AG14" s="223" t="e">
        <f t="shared" si="3"/>
        <v>#REF!</v>
      </c>
      <c r="AH14" s="224" t="e">
        <f t="shared" si="4"/>
        <v>#REF!</v>
      </c>
      <c r="AI14" s="225" t="e">
        <f t="shared" si="5"/>
        <v>#REF!</v>
      </c>
      <c r="AJ14" s="137">
        <v>260159</v>
      </c>
      <c r="AK14" s="150" t="e">
        <f t="shared" si="6"/>
        <v>#REF!</v>
      </c>
      <c r="AL14" s="111" t="e">
        <f>VLOOKUP($D14,#REF!,9,FALSE)-AG14</f>
        <v>#REF!</v>
      </c>
      <c r="AM14" s="111" t="e">
        <f>VLOOKUP($D14,#REF!,10,FALSE)-AH14</f>
        <v>#REF!</v>
      </c>
    </row>
    <row r="15" spans="1:39" x14ac:dyDescent="0.3">
      <c r="A15" s="102">
        <v>12</v>
      </c>
      <c r="B15" s="103" t="s">
        <v>364</v>
      </c>
      <c r="C15" s="93" t="s">
        <v>53</v>
      </c>
      <c r="D15" s="94" t="s">
        <v>54</v>
      </c>
      <c r="E15" s="223">
        <v>0</v>
      </c>
      <c r="F15" s="224">
        <v>0</v>
      </c>
      <c r="G15" s="224">
        <v>1</v>
      </c>
      <c r="H15" s="224">
        <v>0</v>
      </c>
      <c r="I15" s="224">
        <v>0</v>
      </c>
      <c r="J15" s="219">
        <f t="shared" si="0"/>
        <v>1</v>
      </c>
      <c r="K15" s="225">
        <v>2</v>
      </c>
      <c r="L15" s="221">
        <v>0</v>
      </c>
      <c r="M15" s="222">
        <v>0</v>
      </c>
      <c r="N15" s="222">
        <v>-1</v>
      </c>
      <c r="O15" s="222">
        <v>0</v>
      </c>
      <c r="P15" s="222">
        <v>0</v>
      </c>
      <c r="Q15" s="219">
        <f t="shared" si="1"/>
        <v>-1</v>
      </c>
      <c r="R15" s="222">
        <v>0</v>
      </c>
      <c r="S15" s="223">
        <v>0</v>
      </c>
      <c r="T15" s="224">
        <v>0</v>
      </c>
      <c r="U15" s="224">
        <v>0</v>
      </c>
      <c r="V15" s="224">
        <v>0</v>
      </c>
      <c r="W15" s="224">
        <v>0</v>
      </c>
      <c r="X15" s="219">
        <f t="shared" si="2"/>
        <v>0</v>
      </c>
      <c r="Y15" s="225">
        <v>2</v>
      </c>
      <c r="Z15" s="247" t="e">
        <f>VLOOKUP($D15,#REF!, Z$1-21, FALSE)*S15</f>
        <v>#REF!</v>
      </c>
      <c r="AA15" s="218" t="e">
        <f>VLOOKUP($D15,#REF!, AA$1-21, FALSE)*T15</f>
        <v>#REF!</v>
      </c>
      <c r="AB15" s="218" t="e">
        <f>VLOOKUP($D15,#REF!, AB$1-21, FALSE)*U15</f>
        <v>#REF!</v>
      </c>
      <c r="AC15" s="218" t="e">
        <f>VLOOKUP($D15,#REF!, AC$1-21, FALSE)*V15</f>
        <v>#REF!</v>
      </c>
      <c r="AD15" s="218" t="e">
        <f>VLOOKUP($D15,#REF!, AD$1-21, FALSE)*W15</f>
        <v>#REF!</v>
      </c>
      <c r="AE15" s="219" t="e">
        <f t="shared" si="7"/>
        <v>#REF!</v>
      </c>
      <c r="AF15" s="248" t="e">
        <f>VLOOKUP($D15,#REF!, AF$1-22, FALSE)*Y15</f>
        <v>#REF!</v>
      </c>
      <c r="AG15" s="223" t="e">
        <f t="shared" si="3"/>
        <v>#REF!</v>
      </c>
      <c r="AH15" s="224" t="e">
        <f t="shared" si="4"/>
        <v>#REF!</v>
      </c>
      <c r="AI15" s="225" t="e">
        <f t="shared" si="5"/>
        <v>#REF!</v>
      </c>
      <c r="AJ15" s="137">
        <v>208022</v>
      </c>
      <c r="AK15" s="150" t="e">
        <f t="shared" si="6"/>
        <v>#REF!</v>
      </c>
      <c r="AL15" s="111" t="e">
        <f>VLOOKUP($D15,#REF!,9,FALSE)-AG15</f>
        <v>#REF!</v>
      </c>
      <c r="AM15" s="111" t="e">
        <f>VLOOKUP($D15,#REF!,10,FALSE)-AH15</f>
        <v>#REF!</v>
      </c>
    </row>
    <row r="16" spans="1:39" x14ac:dyDescent="0.3">
      <c r="A16" s="102">
        <v>13</v>
      </c>
      <c r="B16" s="103" t="s">
        <v>55</v>
      </c>
      <c r="C16" s="93" t="s">
        <v>56</v>
      </c>
      <c r="D16" s="94" t="s">
        <v>57</v>
      </c>
      <c r="E16" s="223">
        <v>0</v>
      </c>
      <c r="F16" s="224">
        <v>0</v>
      </c>
      <c r="G16" s="224">
        <v>1</v>
      </c>
      <c r="H16" s="224">
        <v>1</v>
      </c>
      <c r="I16" s="224">
        <v>0</v>
      </c>
      <c r="J16" s="219">
        <f t="shared" si="0"/>
        <v>2</v>
      </c>
      <c r="K16" s="225">
        <v>3</v>
      </c>
      <c r="L16" s="221">
        <v>0</v>
      </c>
      <c r="M16" s="222">
        <v>0</v>
      </c>
      <c r="N16" s="222">
        <v>0</v>
      </c>
      <c r="O16" s="222">
        <v>0</v>
      </c>
      <c r="P16" s="222">
        <v>0</v>
      </c>
      <c r="Q16" s="219">
        <f t="shared" si="1"/>
        <v>0</v>
      </c>
      <c r="R16" s="222">
        <v>0</v>
      </c>
      <c r="S16" s="223">
        <v>0</v>
      </c>
      <c r="T16" s="224">
        <v>0</v>
      </c>
      <c r="U16" s="224">
        <v>1</v>
      </c>
      <c r="V16" s="224">
        <v>1</v>
      </c>
      <c r="W16" s="224">
        <v>0</v>
      </c>
      <c r="X16" s="219">
        <f t="shared" si="2"/>
        <v>2</v>
      </c>
      <c r="Y16" s="225">
        <v>3</v>
      </c>
      <c r="Z16" s="247" t="e">
        <f>VLOOKUP($D16,#REF!, Z$1-21, FALSE)*S16</f>
        <v>#REF!</v>
      </c>
      <c r="AA16" s="218" t="e">
        <f>VLOOKUP($D16,#REF!, AA$1-21, FALSE)*T16</f>
        <v>#REF!</v>
      </c>
      <c r="AB16" s="218" t="e">
        <f>VLOOKUP($D16,#REF!, AB$1-21, FALSE)*U16</f>
        <v>#REF!</v>
      </c>
      <c r="AC16" s="218" t="e">
        <f>VLOOKUP($D16,#REF!, AC$1-21, FALSE)*V16</f>
        <v>#REF!</v>
      </c>
      <c r="AD16" s="218" t="e">
        <f>VLOOKUP($D16,#REF!, AD$1-21, FALSE)*W16</f>
        <v>#REF!</v>
      </c>
      <c r="AE16" s="219" t="e">
        <f t="shared" si="7"/>
        <v>#REF!</v>
      </c>
      <c r="AF16" s="248" t="e">
        <f>VLOOKUP($D16,#REF!, AF$1-22, FALSE)*Y16</f>
        <v>#REF!</v>
      </c>
      <c r="AG16" s="223" t="e">
        <f t="shared" si="3"/>
        <v>#REF!</v>
      </c>
      <c r="AH16" s="224" t="e">
        <f t="shared" si="4"/>
        <v>#REF!</v>
      </c>
      <c r="AI16" s="225" t="e">
        <f t="shared" si="5"/>
        <v>#REF!</v>
      </c>
      <c r="AJ16" s="137">
        <v>544022</v>
      </c>
      <c r="AK16" s="150" t="e">
        <f t="shared" si="6"/>
        <v>#REF!</v>
      </c>
      <c r="AL16" s="111" t="e">
        <f>VLOOKUP($D16,#REF!,9,FALSE)-AG16</f>
        <v>#REF!</v>
      </c>
      <c r="AM16" s="111" t="e">
        <f>VLOOKUP($D16,#REF!,10,FALSE)-AH16</f>
        <v>#REF!</v>
      </c>
    </row>
    <row r="17" spans="1:39" x14ac:dyDescent="0.3">
      <c r="A17" s="102">
        <v>14</v>
      </c>
      <c r="B17" s="103" t="s">
        <v>365</v>
      </c>
      <c r="C17" s="93" t="s">
        <v>58</v>
      </c>
      <c r="D17" s="94" t="s">
        <v>59</v>
      </c>
      <c r="E17" s="223">
        <v>0</v>
      </c>
      <c r="F17" s="224">
        <v>0</v>
      </c>
      <c r="G17" s="224">
        <v>1</v>
      </c>
      <c r="H17" s="224">
        <v>0</v>
      </c>
      <c r="I17" s="224">
        <v>0</v>
      </c>
      <c r="J17" s="219">
        <f t="shared" si="0"/>
        <v>1</v>
      </c>
      <c r="K17" s="225">
        <v>2</v>
      </c>
      <c r="L17" s="221">
        <v>0</v>
      </c>
      <c r="M17" s="222">
        <v>0</v>
      </c>
      <c r="N17" s="222">
        <v>0</v>
      </c>
      <c r="O17" s="222">
        <v>0</v>
      </c>
      <c r="P17" s="222">
        <v>0</v>
      </c>
      <c r="Q17" s="219">
        <f t="shared" si="1"/>
        <v>0</v>
      </c>
      <c r="R17" s="222">
        <v>0</v>
      </c>
      <c r="S17" s="223">
        <v>0</v>
      </c>
      <c r="T17" s="224">
        <v>0</v>
      </c>
      <c r="U17" s="224">
        <v>1</v>
      </c>
      <c r="V17" s="224">
        <v>0</v>
      </c>
      <c r="W17" s="224">
        <v>0</v>
      </c>
      <c r="X17" s="219">
        <f t="shared" si="2"/>
        <v>1</v>
      </c>
      <c r="Y17" s="225">
        <v>2</v>
      </c>
      <c r="Z17" s="247" t="e">
        <f>VLOOKUP($D17,#REF!, Z$1-21, FALSE)*S17</f>
        <v>#REF!</v>
      </c>
      <c r="AA17" s="218" t="e">
        <f>VLOOKUP($D17,#REF!, AA$1-21, FALSE)*T17</f>
        <v>#REF!</v>
      </c>
      <c r="AB17" s="218" t="e">
        <f>VLOOKUP($D17,#REF!, AB$1-21, FALSE)*U17</f>
        <v>#REF!</v>
      </c>
      <c r="AC17" s="218" t="e">
        <f>VLOOKUP($D17,#REF!, AC$1-21, FALSE)*V17</f>
        <v>#REF!</v>
      </c>
      <c r="AD17" s="218" t="e">
        <f>VLOOKUP($D17,#REF!, AD$1-21, FALSE)*W17</f>
        <v>#REF!</v>
      </c>
      <c r="AE17" s="219" t="e">
        <f t="shared" si="7"/>
        <v>#REF!</v>
      </c>
      <c r="AF17" s="248" t="e">
        <f>VLOOKUP($D17,#REF!, AF$1-22, FALSE)*Y17</f>
        <v>#REF!</v>
      </c>
      <c r="AG17" s="223" t="e">
        <f t="shared" si="3"/>
        <v>#REF!</v>
      </c>
      <c r="AH17" s="224" t="e">
        <f t="shared" si="4"/>
        <v>#REF!</v>
      </c>
      <c r="AI17" s="225" t="e">
        <f t="shared" si="5"/>
        <v>#REF!</v>
      </c>
      <c r="AJ17" s="137">
        <v>271035</v>
      </c>
      <c r="AK17" s="150" t="e">
        <f t="shared" si="6"/>
        <v>#REF!</v>
      </c>
      <c r="AL17" s="111" t="e">
        <f>VLOOKUP($D17,#REF!,9,FALSE)-AG17</f>
        <v>#REF!</v>
      </c>
      <c r="AM17" s="111" t="e">
        <f>VLOOKUP($D17,#REF!,10,FALSE)-AH17</f>
        <v>#REF!</v>
      </c>
    </row>
    <row r="18" spans="1:39" x14ac:dyDescent="0.3">
      <c r="A18" s="102">
        <v>15</v>
      </c>
      <c r="B18" s="103" t="s">
        <v>60</v>
      </c>
      <c r="C18" s="93" t="s">
        <v>61</v>
      </c>
      <c r="D18" s="94" t="s">
        <v>62</v>
      </c>
      <c r="E18" s="223">
        <v>0</v>
      </c>
      <c r="F18" s="224">
        <v>0</v>
      </c>
      <c r="G18" s="224">
        <v>1</v>
      </c>
      <c r="H18" s="224">
        <v>2</v>
      </c>
      <c r="I18" s="224">
        <v>0</v>
      </c>
      <c r="J18" s="219">
        <f t="shared" si="0"/>
        <v>3</v>
      </c>
      <c r="K18" s="225">
        <v>4</v>
      </c>
      <c r="L18" s="221">
        <v>0</v>
      </c>
      <c r="M18" s="222">
        <v>0</v>
      </c>
      <c r="N18" s="222">
        <v>0</v>
      </c>
      <c r="O18" s="222">
        <v>0</v>
      </c>
      <c r="P18" s="222">
        <v>0</v>
      </c>
      <c r="Q18" s="219">
        <f t="shared" si="1"/>
        <v>0</v>
      </c>
      <c r="R18" s="222">
        <v>0</v>
      </c>
      <c r="S18" s="223">
        <v>0</v>
      </c>
      <c r="T18" s="224">
        <v>0</v>
      </c>
      <c r="U18" s="224">
        <v>1</v>
      </c>
      <c r="V18" s="224">
        <v>2</v>
      </c>
      <c r="W18" s="224">
        <v>0</v>
      </c>
      <c r="X18" s="219">
        <f t="shared" si="2"/>
        <v>3</v>
      </c>
      <c r="Y18" s="225">
        <v>4</v>
      </c>
      <c r="Z18" s="247" t="e">
        <f>VLOOKUP($D18,#REF!, Z$1-21, FALSE)*S18</f>
        <v>#REF!</v>
      </c>
      <c r="AA18" s="218" t="e">
        <f>VLOOKUP($D18,#REF!, AA$1-21, FALSE)*T18</f>
        <v>#REF!</v>
      </c>
      <c r="AB18" s="218" t="e">
        <f>VLOOKUP($D18,#REF!, AB$1-21, FALSE)*U18</f>
        <v>#REF!</v>
      </c>
      <c r="AC18" s="218" t="e">
        <f>VLOOKUP($D18,#REF!, AC$1-21, FALSE)*V18</f>
        <v>#REF!</v>
      </c>
      <c r="AD18" s="218" t="e">
        <f>VLOOKUP($D18,#REF!, AD$1-21, FALSE)*W18</f>
        <v>#REF!</v>
      </c>
      <c r="AE18" s="219" t="e">
        <f t="shared" si="7"/>
        <v>#REF!</v>
      </c>
      <c r="AF18" s="248" t="e">
        <f>VLOOKUP($D18,#REF!, AF$1-22, FALSE)*Y18</f>
        <v>#REF!</v>
      </c>
      <c r="AG18" s="223" t="e">
        <f t="shared" si="3"/>
        <v>#REF!</v>
      </c>
      <c r="AH18" s="224" t="e">
        <f t="shared" si="4"/>
        <v>#REF!</v>
      </c>
      <c r="AI18" s="225" t="e">
        <f t="shared" si="5"/>
        <v>#REF!</v>
      </c>
      <c r="AJ18" s="137">
        <v>716757</v>
      </c>
      <c r="AK18" s="150" t="e">
        <f t="shared" si="6"/>
        <v>#REF!</v>
      </c>
      <c r="AL18" s="111" t="e">
        <f>VLOOKUP($D18,#REF!,9,FALSE)-AG18</f>
        <v>#REF!</v>
      </c>
      <c r="AM18" s="111" t="e">
        <f>VLOOKUP($D18,#REF!,10,FALSE)-AH18</f>
        <v>#REF!</v>
      </c>
    </row>
    <row r="19" spans="1:39" x14ac:dyDescent="0.3">
      <c r="A19" s="102">
        <v>16</v>
      </c>
      <c r="B19" s="103" t="s">
        <v>388</v>
      </c>
      <c r="C19" s="93" t="s">
        <v>63</v>
      </c>
      <c r="D19" s="94" t="s">
        <v>64</v>
      </c>
      <c r="E19" s="223">
        <v>0</v>
      </c>
      <c r="F19" s="224">
        <v>0</v>
      </c>
      <c r="G19" s="224">
        <v>1</v>
      </c>
      <c r="H19" s="224">
        <v>1</v>
      </c>
      <c r="I19" s="224">
        <v>0</v>
      </c>
      <c r="J19" s="219">
        <f t="shared" si="0"/>
        <v>2</v>
      </c>
      <c r="K19" s="225">
        <v>3</v>
      </c>
      <c r="L19" s="221">
        <v>0</v>
      </c>
      <c r="M19" s="222">
        <v>0</v>
      </c>
      <c r="N19" s="222">
        <v>0</v>
      </c>
      <c r="O19" s="222">
        <v>0</v>
      </c>
      <c r="P19" s="222">
        <v>0</v>
      </c>
      <c r="Q19" s="219">
        <f t="shared" si="1"/>
        <v>0</v>
      </c>
      <c r="R19" s="222">
        <v>0</v>
      </c>
      <c r="S19" s="223">
        <v>0</v>
      </c>
      <c r="T19" s="224">
        <v>0</v>
      </c>
      <c r="U19" s="224">
        <v>1</v>
      </c>
      <c r="V19" s="224">
        <v>1</v>
      </c>
      <c r="W19" s="224">
        <v>0</v>
      </c>
      <c r="X19" s="219">
        <f t="shared" si="2"/>
        <v>2</v>
      </c>
      <c r="Y19" s="225">
        <v>3</v>
      </c>
      <c r="Z19" s="247" t="e">
        <f>VLOOKUP($D19,#REF!, Z$1-21, FALSE)*S19</f>
        <v>#REF!</v>
      </c>
      <c r="AA19" s="218" t="e">
        <f>VLOOKUP($D19,#REF!, AA$1-21, FALSE)*T19</f>
        <v>#REF!</v>
      </c>
      <c r="AB19" s="218" t="e">
        <f>VLOOKUP($D19,#REF!, AB$1-21, FALSE)*U19</f>
        <v>#REF!</v>
      </c>
      <c r="AC19" s="218" t="e">
        <f>VLOOKUP($D19,#REF!, AC$1-21, FALSE)*V19</f>
        <v>#REF!</v>
      </c>
      <c r="AD19" s="218" t="e">
        <f>VLOOKUP($D19,#REF!, AD$1-21, FALSE)*W19</f>
        <v>#REF!</v>
      </c>
      <c r="AE19" s="219" t="e">
        <f t="shared" si="7"/>
        <v>#REF!</v>
      </c>
      <c r="AF19" s="248" t="e">
        <f>VLOOKUP($D19,#REF!, AF$1-22, FALSE)*Y19</f>
        <v>#REF!</v>
      </c>
      <c r="AG19" s="223" t="e">
        <f t="shared" si="3"/>
        <v>#REF!</v>
      </c>
      <c r="AH19" s="224" t="e">
        <f t="shared" si="4"/>
        <v>#REF!</v>
      </c>
      <c r="AI19" s="225" t="e">
        <f t="shared" si="5"/>
        <v>#REF!</v>
      </c>
      <c r="AJ19" s="137">
        <v>420931</v>
      </c>
      <c r="AK19" s="150" t="e">
        <f t="shared" si="6"/>
        <v>#REF!</v>
      </c>
      <c r="AL19" s="111" t="e">
        <f>VLOOKUP($D19,#REF!,9,FALSE)-AG19</f>
        <v>#REF!</v>
      </c>
      <c r="AM19" s="111" t="e">
        <f>VLOOKUP($D19,#REF!,10,FALSE)-AH19</f>
        <v>#REF!</v>
      </c>
    </row>
    <row r="20" spans="1:39" x14ac:dyDescent="0.3">
      <c r="A20" s="102">
        <v>17</v>
      </c>
      <c r="B20" s="103" t="s">
        <v>65</v>
      </c>
      <c r="C20" s="93" t="s">
        <v>66</v>
      </c>
      <c r="D20" s="94" t="s">
        <v>67</v>
      </c>
      <c r="E20" s="223">
        <v>0</v>
      </c>
      <c r="F20" s="224">
        <v>0</v>
      </c>
      <c r="G20" s="224">
        <v>1</v>
      </c>
      <c r="H20" s="224">
        <v>0</v>
      </c>
      <c r="I20" s="224">
        <v>0</v>
      </c>
      <c r="J20" s="219">
        <f t="shared" si="0"/>
        <v>1</v>
      </c>
      <c r="K20" s="225">
        <v>2</v>
      </c>
      <c r="L20" s="221">
        <v>0</v>
      </c>
      <c r="M20" s="222">
        <v>0</v>
      </c>
      <c r="N20" s="222">
        <v>0</v>
      </c>
      <c r="O20" s="222">
        <v>0</v>
      </c>
      <c r="P20" s="222">
        <v>0</v>
      </c>
      <c r="Q20" s="219">
        <f t="shared" si="1"/>
        <v>0</v>
      </c>
      <c r="R20" s="222">
        <v>0</v>
      </c>
      <c r="S20" s="223">
        <v>0</v>
      </c>
      <c r="T20" s="224">
        <v>0</v>
      </c>
      <c r="U20" s="224">
        <v>1</v>
      </c>
      <c r="V20" s="224">
        <v>0</v>
      </c>
      <c r="W20" s="224">
        <v>0</v>
      </c>
      <c r="X20" s="219">
        <f t="shared" si="2"/>
        <v>1</v>
      </c>
      <c r="Y20" s="225">
        <v>2</v>
      </c>
      <c r="Z20" s="247" t="e">
        <f>VLOOKUP($D20,#REF!, Z$1-21, FALSE)*S20</f>
        <v>#REF!</v>
      </c>
      <c r="AA20" s="218" t="e">
        <f>VLOOKUP($D20,#REF!, AA$1-21, FALSE)*T20</f>
        <v>#REF!</v>
      </c>
      <c r="AB20" s="218" t="e">
        <f>VLOOKUP($D20,#REF!, AB$1-21, FALSE)*U20</f>
        <v>#REF!</v>
      </c>
      <c r="AC20" s="218" t="e">
        <f>VLOOKUP($D20,#REF!, AC$1-21, FALSE)*V20</f>
        <v>#REF!</v>
      </c>
      <c r="AD20" s="218" t="e">
        <f>VLOOKUP($D20,#REF!, AD$1-21, FALSE)*W20</f>
        <v>#REF!</v>
      </c>
      <c r="AE20" s="219" t="e">
        <f t="shared" si="7"/>
        <v>#REF!</v>
      </c>
      <c r="AF20" s="248" t="e">
        <f>VLOOKUP($D20,#REF!, AF$1-22, FALSE)*Y20</f>
        <v>#REF!</v>
      </c>
      <c r="AG20" s="223" t="e">
        <f t="shared" si="3"/>
        <v>#REF!</v>
      </c>
      <c r="AH20" s="224" t="e">
        <f t="shared" si="4"/>
        <v>#REF!</v>
      </c>
      <c r="AI20" s="225" t="e">
        <f t="shared" si="5"/>
        <v>#REF!</v>
      </c>
      <c r="AJ20" s="137">
        <v>276263</v>
      </c>
      <c r="AK20" s="150" t="e">
        <f t="shared" si="6"/>
        <v>#REF!</v>
      </c>
      <c r="AL20" s="111" t="e">
        <f>VLOOKUP($D20,#REF!,9,FALSE)-AG20</f>
        <v>#REF!</v>
      </c>
      <c r="AM20" s="111" t="e">
        <f>VLOOKUP($D20,#REF!,10,FALSE)-AH20</f>
        <v>#REF!</v>
      </c>
    </row>
    <row r="21" spans="1:39" x14ac:dyDescent="0.3">
      <c r="A21" s="102">
        <v>18</v>
      </c>
      <c r="B21" s="103" t="s">
        <v>68</v>
      </c>
      <c r="C21" s="93" t="s">
        <v>69</v>
      </c>
      <c r="D21" s="94" t="s">
        <v>70</v>
      </c>
      <c r="E21" s="223">
        <v>0</v>
      </c>
      <c r="F21" s="224">
        <v>0</v>
      </c>
      <c r="G21" s="224">
        <v>1</v>
      </c>
      <c r="H21" s="224">
        <v>2</v>
      </c>
      <c r="I21" s="224">
        <v>0</v>
      </c>
      <c r="J21" s="219">
        <f t="shared" si="0"/>
        <v>3</v>
      </c>
      <c r="K21" s="225">
        <v>4</v>
      </c>
      <c r="L21" s="221">
        <v>0</v>
      </c>
      <c r="M21" s="222">
        <v>0</v>
      </c>
      <c r="N21" s="222">
        <v>0</v>
      </c>
      <c r="O21" s="222">
        <v>0</v>
      </c>
      <c r="P21" s="222">
        <v>0</v>
      </c>
      <c r="Q21" s="219">
        <f t="shared" si="1"/>
        <v>0</v>
      </c>
      <c r="R21" s="222">
        <v>-1</v>
      </c>
      <c r="S21" s="223">
        <v>0</v>
      </c>
      <c r="T21" s="224">
        <v>0</v>
      </c>
      <c r="U21" s="224">
        <v>1</v>
      </c>
      <c r="V21" s="224">
        <v>2</v>
      </c>
      <c r="W21" s="224">
        <v>0</v>
      </c>
      <c r="X21" s="219">
        <f t="shared" si="2"/>
        <v>3</v>
      </c>
      <c r="Y21" s="225">
        <v>3</v>
      </c>
      <c r="Z21" s="247" t="e">
        <f>VLOOKUP($D21,#REF!, Z$1-21, FALSE)*S21</f>
        <v>#REF!</v>
      </c>
      <c r="AA21" s="218" t="e">
        <f>VLOOKUP($D21,#REF!, AA$1-21, FALSE)*T21</f>
        <v>#REF!</v>
      </c>
      <c r="AB21" s="218" t="e">
        <f>VLOOKUP($D21,#REF!, AB$1-21, FALSE)*U21</f>
        <v>#REF!</v>
      </c>
      <c r="AC21" s="218" t="e">
        <f>VLOOKUP($D21,#REF!, AC$1-21, FALSE)*V21</f>
        <v>#REF!</v>
      </c>
      <c r="AD21" s="218" t="e">
        <f>VLOOKUP($D21,#REF!, AD$1-21, FALSE)*W21</f>
        <v>#REF!</v>
      </c>
      <c r="AE21" s="219" t="e">
        <f t="shared" si="7"/>
        <v>#REF!</v>
      </c>
      <c r="AF21" s="248" t="e">
        <f>VLOOKUP($D21,#REF!, AF$1-22, FALSE)*Y21</f>
        <v>#REF!</v>
      </c>
      <c r="AG21" s="223" t="e">
        <f t="shared" si="3"/>
        <v>#REF!</v>
      </c>
      <c r="AH21" s="224" t="e">
        <f t="shared" si="4"/>
        <v>#REF!</v>
      </c>
      <c r="AI21" s="225" t="e">
        <f t="shared" si="5"/>
        <v>#REF!</v>
      </c>
      <c r="AJ21" s="137">
        <v>653900</v>
      </c>
      <c r="AK21" s="150" t="e">
        <f t="shared" si="6"/>
        <v>#REF!</v>
      </c>
      <c r="AL21" s="111" t="e">
        <f>VLOOKUP($D21,#REF!,9,FALSE)-AG21</f>
        <v>#REF!</v>
      </c>
      <c r="AM21" s="111" t="e">
        <f>VLOOKUP($D21,#REF!,10,FALSE)-AH21</f>
        <v>#REF!</v>
      </c>
    </row>
    <row r="22" spans="1:39" x14ac:dyDescent="0.3">
      <c r="A22" s="102">
        <v>19</v>
      </c>
      <c r="B22" s="103" t="s">
        <v>366</v>
      </c>
      <c r="C22" s="93" t="s">
        <v>71</v>
      </c>
      <c r="D22" s="94" t="s">
        <v>72</v>
      </c>
      <c r="E22" s="223">
        <v>0</v>
      </c>
      <c r="F22" s="224">
        <v>1</v>
      </c>
      <c r="G22" s="224">
        <v>2</v>
      </c>
      <c r="H22" s="224">
        <v>1</v>
      </c>
      <c r="I22" s="226">
        <v>1</v>
      </c>
      <c r="J22" s="219">
        <f t="shared" si="0"/>
        <v>5</v>
      </c>
      <c r="K22" s="225">
        <v>6</v>
      </c>
      <c r="L22" s="221">
        <v>0</v>
      </c>
      <c r="M22" s="222">
        <v>0</v>
      </c>
      <c r="N22" s="222">
        <v>0</v>
      </c>
      <c r="O22" s="222">
        <v>0</v>
      </c>
      <c r="P22" s="222">
        <v>0</v>
      </c>
      <c r="Q22" s="219">
        <f t="shared" si="1"/>
        <v>0</v>
      </c>
      <c r="R22" s="222">
        <v>1</v>
      </c>
      <c r="S22" s="223">
        <v>0</v>
      </c>
      <c r="T22" s="224">
        <v>1</v>
      </c>
      <c r="U22" s="224">
        <v>2</v>
      </c>
      <c r="V22" s="224">
        <v>1</v>
      </c>
      <c r="W22" s="226">
        <v>1</v>
      </c>
      <c r="X22" s="219">
        <f t="shared" si="2"/>
        <v>5</v>
      </c>
      <c r="Y22" s="225">
        <v>7</v>
      </c>
      <c r="Z22" s="247" t="e">
        <f>VLOOKUP($D22,#REF!, Z$1-21, FALSE)*S22</f>
        <v>#REF!</v>
      </c>
      <c r="AA22" s="218" t="e">
        <f>VLOOKUP($D22,#REF!, AA$1-21, FALSE)*T22</f>
        <v>#REF!</v>
      </c>
      <c r="AB22" s="218" t="e">
        <f>VLOOKUP($D22,#REF!, AB$1-21, FALSE)*U22</f>
        <v>#REF!</v>
      </c>
      <c r="AC22" s="218" t="e">
        <f>VLOOKUP($D22,#REF!, AC$1-21, FALSE)*V22</f>
        <v>#REF!</v>
      </c>
      <c r="AD22" s="218" t="e">
        <f>VLOOKUP($D22,#REF!, AD$1-21, FALSE)*W22</f>
        <v>#REF!</v>
      </c>
      <c r="AE22" s="219" t="e">
        <f t="shared" si="7"/>
        <v>#REF!</v>
      </c>
      <c r="AF22" s="248" t="e">
        <f>VLOOKUP($D22,#REF!, AF$1-22, FALSE)*Y22</f>
        <v>#REF!</v>
      </c>
      <c r="AG22" s="223" t="e">
        <f t="shared" si="3"/>
        <v>#REF!</v>
      </c>
      <c r="AH22" s="224" t="e">
        <f t="shared" si="4"/>
        <v>#REF!</v>
      </c>
      <c r="AI22" s="228" t="e">
        <f t="shared" si="5"/>
        <v>#REF!</v>
      </c>
      <c r="AJ22" s="137">
        <v>1201955</v>
      </c>
      <c r="AK22" s="150" t="e">
        <f t="shared" si="6"/>
        <v>#REF!</v>
      </c>
      <c r="AL22" s="111" t="e">
        <f>VLOOKUP($D22,#REF!,9,FALSE)-AG22</f>
        <v>#REF!</v>
      </c>
      <c r="AM22" s="111" t="e">
        <f>VLOOKUP($D22,#REF!,10,FALSE)-AH22</f>
        <v>#REF!</v>
      </c>
    </row>
    <row r="23" spans="1:39" x14ac:dyDescent="0.3">
      <c r="A23" s="102">
        <v>20</v>
      </c>
      <c r="B23" s="103" t="s">
        <v>409</v>
      </c>
      <c r="C23" s="93" t="s">
        <v>73</v>
      </c>
      <c r="D23" s="94" t="s">
        <v>74</v>
      </c>
      <c r="E23" s="223">
        <v>0</v>
      </c>
      <c r="F23" s="224">
        <v>0</v>
      </c>
      <c r="G23" s="224">
        <v>0</v>
      </c>
      <c r="H23" s="224">
        <v>0</v>
      </c>
      <c r="I23" s="224">
        <v>0</v>
      </c>
      <c r="J23" s="219">
        <f t="shared" si="0"/>
        <v>0</v>
      </c>
      <c r="K23" s="225">
        <v>1</v>
      </c>
      <c r="L23" s="221">
        <v>0</v>
      </c>
      <c r="M23" s="222">
        <v>0</v>
      </c>
      <c r="N23" s="222">
        <v>0</v>
      </c>
      <c r="O23" s="222">
        <v>0</v>
      </c>
      <c r="P23" s="222">
        <v>0</v>
      </c>
      <c r="Q23" s="219">
        <f t="shared" si="1"/>
        <v>0</v>
      </c>
      <c r="R23" s="222">
        <v>0</v>
      </c>
      <c r="S23" s="223">
        <v>0</v>
      </c>
      <c r="T23" s="224">
        <v>0</v>
      </c>
      <c r="U23" s="224">
        <v>0</v>
      </c>
      <c r="V23" s="224">
        <v>0</v>
      </c>
      <c r="W23" s="224">
        <v>0</v>
      </c>
      <c r="X23" s="219">
        <f t="shared" si="2"/>
        <v>0</v>
      </c>
      <c r="Y23" s="225">
        <v>1</v>
      </c>
      <c r="Z23" s="247" t="e">
        <f>VLOOKUP($D23,#REF!, Z$1-21, FALSE)*S23</f>
        <v>#REF!</v>
      </c>
      <c r="AA23" s="218" t="e">
        <f>VLOOKUP($D23,#REF!, AA$1-21, FALSE)*T23</f>
        <v>#REF!</v>
      </c>
      <c r="AB23" s="218" t="e">
        <f>VLOOKUP($D23,#REF!, AB$1-21, FALSE)*U23</f>
        <v>#REF!</v>
      </c>
      <c r="AC23" s="218" t="e">
        <f>VLOOKUP($D23,#REF!, AC$1-21, FALSE)*V23</f>
        <v>#REF!</v>
      </c>
      <c r="AD23" s="218" t="e">
        <f>VLOOKUP($D23,#REF!, AD$1-21, FALSE)*W23</f>
        <v>#REF!</v>
      </c>
      <c r="AE23" s="219" t="e">
        <f t="shared" si="7"/>
        <v>#REF!</v>
      </c>
      <c r="AF23" s="248" t="e">
        <f>VLOOKUP($D23,#REF!, AF$1-22, FALSE)*Y23</f>
        <v>#REF!</v>
      </c>
      <c r="AG23" s="223" t="e">
        <f t="shared" si="3"/>
        <v>#REF!</v>
      </c>
      <c r="AH23" s="224" t="e">
        <f t="shared" si="4"/>
        <v>#REF!</v>
      </c>
      <c r="AI23" s="225" t="e">
        <f t="shared" si="5"/>
        <v>#REF!</v>
      </c>
      <c r="AJ23" s="137">
        <v>68700</v>
      </c>
      <c r="AK23" s="150" t="e">
        <f t="shared" si="6"/>
        <v>#REF!</v>
      </c>
      <c r="AL23" s="111" t="e">
        <f>VLOOKUP($D23,#REF!,9,FALSE)-AG23</f>
        <v>#REF!</v>
      </c>
      <c r="AM23" s="111" t="e">
        <f>VLOOKUP($D23,#REF!,10,FALSE)-AH23</f>
        <v>#REF!</v>
      </c>
    </row>
    <row r="24" spans="1:39" x14ac:dyDescent="0.3">
      <c r="A24" s="102">
        <v>21</v>
      </c>
      <c r="B24" s="103" t="s">
        <v>389</v>
      </c>
      <c r="C24" s="93" t="s">
        <v>75</v>
      </c>
      <c r="D24" s="94" t="s">
        <v>76</v>
      </c>
      <c r="E24" s="223">
        <v>0</v>
      </c>
      <c r="F24" s="224">
        <v>0</v>
      </c>
      <c r="G24" s="224">
        <v>1</v>
      </c>
      <c r="H24" s="224">
        <v>0</v>
      </c>
      <c r="I24" s="224">
        <v>0</v>
      </c>
      <c r="J24" s="219">
        <f t="shared" si="0"/>
        <v>1</v>
      </c>
      <c r="K24" s="225">
        <v>2</v>
      </c>
      <c r="L24" s="221">
        <v>0</v>
      </c>
      <c r="M24" s="222">
        <v>0</v>
      </c>
      <c r="N24" s="222">
        <v>0</v>
      </c>
      <c r="O24" s="222">
        <v>1</v>
      </c>
      <c r="P24" s="222">
        <v>0</v>
      </c>
      <c r="Q24" s="219">
        <f t="shared" si="1"/>
        <v>1</v>
      </c>
      <c r="R24" s="222">
        <v>0</v>
      </c>
      <c r="S24" s="223">
        <v>0</v>
      </c>
      <c r="T24" s="224">
        <v>0</v>
      </c>
      <c r="U24" s="224">
        <v>1</v>
      </c>
      <c r="V24" s="224">
        <v>1</v>
      </c>
      <c r="W24" s="224">
        <v>0</v>
      </c>
      <c r="X24" s="219">
        <f t="shared" si="2"/>
        <v>2</v>
      </c>
      <c r="Y24" s="225">
        <v>2</v>
      </c>
      <c r="Z24" s="247" t="e">
        <f>VLOOKUP($D24,#REF!, Z$1-21, FALSE)*S24</f>
        <v>#REF!</v>
      </c>
      <c r="AA24" s="218" t="e">
        <f>VLOOKUP($D24,#REF!, AA$1-21, FALSE)*T24</f>
        <v>#REF!</v>
      </c>
      <c r="AB24" s="218" t="e">
        <f>VLOOKUP($D24,#REF!, AB$1-21, FALSE)*U24</f>
        <v>#REF!</v>
      </c>
      <c r="AC24" s="218" t="e">
        <f>VLOOKUP($D24,#REF!, AC$1-21, FALSE)*V24</f>
        <v>#REF!</v>
      </c>
      <c r="AD24" s="218" t="e">
        <f>VLOOKUP($D24,#REF!, AD$1-21, FALSE)*W24</f>
        <v>#REF!</v>
      </c>
      <c r="AE24" s="219" t="e">
        <f t="shared" si="7"/>
        <v>#REF!</v>
      </c>
      <c r="AF24" s="248" t="e">
        <f>VLOOKUP($D24,#REF!, AF$1-22, FALSE)*Y24</f>
        <v>#REF!</v>
      </c>
      <c r="AG24" s="223" t="e">
        <f t="shared" si="3"/>
        <v>#REF!</v>
      </c>
      <c r="AH24" s="224" t="e">
        <f t="shared" si="4"/>
        <v>#REF!</v>
      </c>
      <c r="AI24" s="225" t="e">
        <f t="shared" si="5"/>
        <v>#REF!</v>
      </c>
      <c r="AJ24" s="137">
        <v>313454</v>
      </c>
      <c r="AK24" s="150" t="e">
        <f t="shared" si="6"/>
        <v>#REF!</v>
      </c>
      <c r="AL24" s="111" t="e">
        <f>VLOOKUP($D24,#REF!,9,FALSE)-AG24</f>
        <v>#REF!</v>
      </c>
      <c r="AM24" s="111" t="e">
        <f>VLOOKUP($D24,#REF!,10,FALSE)-AH24</f>
        <v>#REF!</v>
      </c>
    </row>
    <row r="25" spans="1:39" x14ac:dyDescent="0.3">
      <c r="A25" s="102">
        <v>22</v>
      </c>
      <c r="B25" s="103" t="s">
        <v>77</v>
      </c>
      <c r="C25" s="93" t="s">
        <v>78</v>
      </c>
      <c r="D25" s="94" t="s">
        <v>79</v>
      </c>
      <c r="E25" s="223">
        <v>0</v>
      </c>
      <c r="F25" s="224">
        <v>1</v>
      </c>
      <c r="G25" s="224">
        <v>3</v>
      </c>
      <c r="H25" s="224">
        <v>4</v>
      </c>
      <c r="I25" s="224">
        <v>0</v>
      </c>
      <c r="J25" s="219">
        <f t="shared" si="0"/>
        <v>8</v>
      </c>
      <c r="K25" s="225">
        <v>8</v>
      </c>
      <c r="L25" s="221">
        <v>0</v>
      </c>
      <c r="M25" s="222">
        <v>0</v>
      </c>
      <c r="N25" s="222">
        <v>0</v>
      </c>
      <c r="O25" s="222">
        <v>0</v>
      </c>
      <c r="P25" s="222">
        <v>0</v>
      </c>
      <c r="Q25" s="219">
        <f t="shared" si="1"/>
        <v>0</v>
      </c>
      <c r="R25" s="222">
        <v>0</v>
      </c>
      <c r="S25" s="223">
        <v>0</v>
      </c>
      <c r="T25" s="224">
        <v>1</v>
      </c>
      <c r="U25" s="224">
        <v>3</v>
      </c>
      <c r="V25" s="224">
        <v>4</v>
      </c>
      <c r="W25" s="224">
        <v>0</v>
      </c>
      <c r="X25" s="219">
        <f t="shared" si="2"/>
        <v>8</v>
      </c>
      <c r="Y25" s="225">
        <v>8</v>
      </c>
      <c r="Z25" s="247" t="e">
        <f>VLOOKUP($D25,#REF!, Z$1-21, FALSE)*S25</f>
        <v>#REF!</v>
      </c>
      <c r="AA25" s="218" t="e">
        <f>VLOOKUP($D25,#REF!, AA$1-21, FALSE)*T25</f>
        <v>#REF!</v>
      </c>
      <c r="AB25" s="218" t="e">
        <f>VLOOKUP($D25,#REF!, AB$1-21, FALSE)*U25</f>
        <v>#REF!</v>
      </c>
      <c r="AC25" s="218" t="e">
        <f>VLOOKUP($D25,#REF!, AC$1-21, FALSE)*V25</f>
        <v>#REF!</v>
      </c>
      <c r="AD25" s="218" t="e">
        <f>VLOOKUP($D25,#REF!, AD$1-21, FALSE)*W25</f>
        <v>#REF!</v>
      </c>
      <c r="AE25" s="219" t="e">
        <f t="shared" si="7"/>
        <v>#REF!</v>
      </c>
      <c r="AF25" s="248" t="e">
        <f>VLOOKUP($D25,#REF!, AF$1-22, FALSE)*Y25</f>
        <v>#REF!</v>
      </c>
      <c r="AG25" s="223" t="e">
        <f t="shared" si="3"/>
        <v>#REF!</v>
      </c>
      <c r="AH25" s="224" t="e">
        <f t="shared" si="4"/>
        <v>#REF!</v>
      </c>
      <c r="AI25" s="225" t="e">
        <f t="shared" si="5"/>
        <v>#REF!</v>
      </c>
      <c r="AJ25" s="137">
        <v>1877726</v>
      </c>
      <c r="AK25" s="150" t="e">
        <f t="shared" si="6"/>
        <v>#REF!</v>
      </c>
      <c r="AL25" s="111" t="e">
        <f>VLOOKUP($D25,#REF!,9,FALSE)-AG25</f>
        <v>#REF!</v>
      </c>
      <c r="AM25" s="111" t="e">
        <f>VLOOKUP($D25,#REF!,10,FALSE)-AH25</f>
        <v>#REF!</v>
      </c>
    </row>
    <row r="26" spans="1:39" x14ac:dyDescent="0.3">
      <c r="A26" s="102">
        <v>23</v>
      </c>
      <c r="B26" s="103" t="s">
        <v>367</v>
      </c>
      <c r="C26" s="93" t="s">
        <v>80</v>
      </c>
      <c r="D26" s="94" t="s">
        <v>81</v>
      </c>
      <c r="E26" s="223">
        <v>0</v>
      </c>
      <c r="F26" s="224">
        <v>0</v>
      </c>
      <c r="G26" s="224">
        <v>1</v>
      </c>
      <c r="H26" s="224">
        <v>0</v>
      </c>
      <c r="I26" s="224">
        <v>0</v>
      </c>
      <c r="J26" s="219">
        <f t="shared" si="0"/>
        <v>1</v>
      </c>
      <c r="K26" s="225">
        <v>2</v>
      </c>
      <c r="L26" s="221">
        <v>0</v>
      </c>
      <c r="M26" s="222">
        <v>0</v>
      </c>
      <c r="N26" s="222">
        <v>-1</v>
      </c>
      <c r="O26" s="222">
        <v>0</v>
      </c>
      <c r="P26" s="222">
        <v>0</v>
      </c>
      <c r="Q26" s="219">
        <f t="shared" si="1"/>
        <v>-1</v>
      </c>
      <c r="R26" s="222">
        <v>-1</v>
      </c>
      <c r="S26" s="223">
        <v>0</v>
      </c>
      <c r="T26" s="224">
        <v>0</v>
      </c>
      <c r="U26" s="224">
        <v>0</v>
      </c>
      <c r="V26" s="224">
        <v>0</v>
      </c>
      <c r="W26" s="224">
        <v>0</v>
      </c>
      <c r="X26" s="219">
        <f t="shared" si="2"/>
        <v>0</v>
      </c>
      <c r="Y26" s="225">
        <v>1</v>
      </c>
      <c r="Z26" s="247" t="e">
        <f>VLOOKUP($D26,#REF!, Z$1-21, FALSE)*S26</f>
        <v>#REF!</v>
      </c>
      <c r="AA26" s="218" t="e">
        <f>VLOOKUP($D26,#REF!, AA$1-21, FALSE)*T26</f>
        <v>#REF!</v>
      </c>
      <c r="AB26" s="218" t="e">
        <f>VLOOKUP($D26,#REF!, AB$1-21, FALSE)*U26</f>
        <v>#REF!</v>
      </c>
      <c r="AC26" s="218" t="e">
        <f>VLOOKUP($D26,#REF!, AC$1-21, FALSE)*V26</f>
        <v>#REF!</v>
      </c>
      <c r="AD26" s="218" t="e">
        <f>VLOOKUP($D26,#REF!, AD$1-21, FALSE)*W26</f>
        <v>#REF!</v>
      </c>
      <c r="AE26" s="219" t="e">
        <f t="shared" si="7"/>
        <v>#REF!</v>
      </c>
      <c r="AF26" s="248" t="e">
        <f>VLOOKUP($D26,#REF!, AF$1-22, FALSE)*Y26</f>
        <v>#REF!</v>
      </c>
      <c r="AG26" s="223" t="e">
        <f t="shared" si="3"/>
        <v>#REF!</v>
      </c>
      <c r="AH26" s="224" t="e">
        <f t="shared" si="4"/>
        <v>#REF!</v>
      </c>
      <c r="AI26" s="225" t="e">
        <f t="shared" si="5"/>
        <v>#REF!</v>
      </c>
      <c r="AJ26" s="137">
        <v>265374</v>
      </c>
      <c r="AK26" s="150" t="e">
        <f t="shared" si="6"/>
        <v>#REF!</v>
      </c>
      <c r="AL26" s="111" t="e">
        <f>VLOOKUP($D26,#REF!,9,FALSE)-AG26</f>
        <v>#REF!</v>
      </c>
      <c r="AM26" s="111" t="e">
        <f>VLOOKUP($D26,#REF!,10,FALSE)-AH26</f>
        <v>#REF!</v>
      </c>
    </row>
    <row r="27" spans="1:39" x14ac:dyDescent="0.3">
      <c r="A27" s="102">
        <v>24</v>
      </c>
      <c r="B27" s="103" t="s">
        <v>368</v>
      </c>
      <c r="C27" s="93" t="s">
        <v>82</v>
      </c>
      <c r="D27" s="94" t="s">
        <v>83</v>
      </c>
      <c r="E27" s="223">
        <v>0</v>
      </c>
      <c r="F27" s="224">
        <v>0</v>
      </c>
      <c r="G27" s="224">
        <v>1</v>
      </c>
      <c r="H27" s="224">
        <v>1</v>
      </c>
      <c r="I27" s="224">
        <v>0</v>
      </c>
      <c r="J27" s="219">
        <f t="shared" si="0"/>
        <v>2</v>
      </c>
      <c r="K27" s="225">
        <v>3</v>
      </c>
      <c r="L27" s="221">
        <v>0</v>
      </c>
      <c r="M27" s="222">
        <v>0</v>
      </c>
      <c r="N27" s="222">
        <v>0</v>
      </c>
      <c r="O27" s="222">
        <v>-1</v>
      </c>
      <c r="P27" s="222">
        <v>0</v>
      </c>
      <c r="Q27" s="219">
        <f t="shared" si="1"/>
        <v>-1</v>
      </c>
      <c r="R27" s="222">
        <v>0</v>
      </c>
      <c r="S27" s="223">
        <v>0</v>
      </c>
      <c r="T27" s="224">
        <v>0</v>
      </c>
      <c r="U27" s="224">
        <v>1</v>
      </c>
      <c r="V27" s="224">
        <v>0</v>
      </c>
      <c r="W27" s="224">
        <v>0</v>
      </c>
      <c r="X27" s="219">
        <f t="shared" si="2"/>
        <v>1</v>
      </c>
      <c r="Y27" s="225">
        <v>3</v>
      </c>
      <c r="Z27" s="247" t="e">
        <f>VLOOKUP($D27,#REF!, Z$1-21, FALSE)*S27</f>
        <v>#REF!</v>
      </c>
      <c r="AA27" s="218" t="e">
        <f>VLOOKUP($D27,#REF!, AA$1-21, FALSE)*T27</f>
        <v>#REF!</v>
      </c>
      <c r="AB27" s="218" t="e">
        <f>VLOOKUP($D27,#REF!, AB$1-21, FALSE)*U27</f>
        <v>#REF!</v>
      </c>
      <c r="AC27" s="218" t="e">
        <f>VLOOKUP($D27,#REF!, AC$1-21, FALSE)*V27</f>
        <v>#REF!</v>
      </c>
      <c r="AD27" s="218" t="e">
        <f>VLOOKUP($D27,#REF!, AD$1-21, FALSE)*W27</f>
        <v>#REF!</v>
      </c>
      <c r="AE27" s="219" t="e">
        <f t="shared" si="7"/>
        <v>#REF!</v>
      </c>
      <c r="AF27" s="248" t="e">
        <f>VLOOKUP($D27,#REF!, AF$1-22, FALSE)*Y27</f>
        <v>#REF!</v>
      </c>
      <c r="AG27" s="223" t="e">
        <f t="shared" si="3"/>
        <v>#REF!</v>
      </c>
      <c r="AH27" s="224" t="e">
        <f t="shared" si="4"/>
        <v>#REF!</v>
      </c>
      <c r="AI27" s="225" t="e">
        <f t="shared" si="5"/>
        <v>#REF!</v>
      </c>
      <c r="AJ27" s="137">
        <v>620065</v>
      </c>
      <c r="AK27" s="150" t="e">
        <f t="shared" si="6"/>
        <v>#REF!</v>
      </c>
      <c r="AL27" s="111" t="e">
        <f>VLOOKUP($D27,#REF!,9,FALSE)-AG27</f>
        <v>#REF!</v>
      </c>
      <c r="AM27" s="111" t="e">
        <f>VLOOKUP($D27,#REF!,10,FALSE)-AH27</f>
        <v>#REF!</v>
      </c>
    </row>
    <row r="28" spans="1:39" x14ac:dyDescent="0.3">
      <c r="A28" s="102">
        <v>25</v>
      </c>
      <c r="B28" s="103" t="s">
        <v>421</v>
      </c>
      <c r="C28" s="93" t="s">
        <v>420</v>
      </c>
      <c r="D28" s="94" t="s">
        <v>344</v>
      </c>
      <c r="E28" s="223"/>
      <c r="F28" s="224"/>
      <c r="G28" s="224"/>
      <c r="H28" s="224"/>
      <c r="I28" s="224"/>
      <c r="J28" s="219">
        <f t="shared" si="0"/>
        <v>0</v>
      </c>
      <c r="K28" s="225">
        <v>1</v>
      </c>
      <c r="L28" s="221">
        <v>0</v>
      </c>
      <c r="M28" s="222">
        <v>0</v>
      </c>
      <c r="N28" s="222">
        <v>0</v>
      </c>
      <c r="O28" s="222">
        <v>0</v>
      </c>
      <c r="P28" s="222">
        <v>0</v>
      </c>
      <c r="Q28" s="219">
        <f t="shared" si="1"/>
        <v>0</v>
      </c>
      <c r="R28" s="222">
        <v>0</v>
      </c>
      <c r="S28" s="223">
        <v>0</v>
      </c>
      <c r="T28" s="224">
        <v>0</v>
      </c>
      <c r="U28" s="224">
        <v>0</v>
      </c>
      <c r="V28" s="224">
        <v>0</v>
      </c>
      <c r="W28" s="224">
        <v>0</v>
      </c>
      <c r="X28" s="219">
        <f t="shared" si="2"/>
        <v>0</v>
      </c>
      <c r="Y28" s="225">
        <v>1</v>
      </c>
      <c r="Z28" s="247" t="e">
        <f>VLOOKUP($D28,#REF!, Z$1-21, FALSE)*S28</f>
        <v>#REF!</v>
      </c>
      <c r="AA28" s="218" t="e">
        <f>VLOOKUP($D28,#REF!, AA$1-21, FALSE)*T28</f>
        <v>#REF!</v>
      </c>
      <c r="AB28" s="218" t="e">
        <f>VLOOKUP($D28,#REF!, AB$1-21, FALSE)*U28</f>
        <v>#REF!</v>
      </c>
      <c r="AC28" s="218" t="e">
        <f>VLOOKUP($D28,#REF!, AC$1-21, FALSE)*V28</f>
        <v>#REF!</v>
      </c>
      <c r="AD28" s="218" t="e">
        <f>VLOOKUP($D28,#REF!, AD$1-21, FALSE)*W28</f>
        <v>#REF!</v>
      </c>
      <c r="AE28" s="219" t="e">
        <f t="shared" si="7"/>
        <v>#REF!</v>
      </c>
      <c r="AF28" s="248" t="e">
        <f>VLOOKUP($D28,#REF!, AF$1-22, FALSE)*Y28</f>
        <v>#REF!</v>
      </c>
      <c r="AG28" s="223" t="e">
        <f t="shared" si="3"/>
        <v>#REF!</v>
      </c>
      <c r="AH28" s="224" t="e">
        <f t="shared" si="4"/>
        <v>#REF!</v>
      </c>
      <c r="AI28" s="225" t="e">
        <f t="shared" si="5"/>
        <v>#REF!</v>
      </c>
      <c r="AJ28" s="137">
        <v>1567795</v>
      </c>
      <c r="AK28" s="150" t="e">
        <f t="shared" si="6"/>
        <v>#REF!</v>
      </c>
      <c r="AL28" s="111" t="e">
        <f>VLOOKUP($D28,#REF!,9,FALSE)-AG28</f>
        <v>#REF!</v>
      </c>
      <c r="AM28" s="111" t="e">
        <f>VLOOKUP($D28,#REF!,10,FALSE)-AH28</f>
        <v>#REF!</v>
      </c>
    </row>
    <row r="29" spans="1:39" x14ac:dyDescent="0.3">
      <c r="A29" s="102">
        <v>26</v>
      </c>
      <c r="B29" s="103" t="s">
        <v>369</v>
      </c>
      <c r="C29" s="93" t="s">
        <v>84</v>
      </c>
      <c r="D29" s="94" t="s">
        <v>85</v>
      </c>
      <c r="E29" s="223">
        <v>0</v>
      </c>
      <c r="F29" s="224">
        <v>1</v>
      </c>
      <c r="G29" s="224">
        <v>2</v>
      </c>
      <c r="H29" s="224">
        <v>2</v>
      </c>
      <c r="I29" s="224">
        <v>0</v>
      </c>
      <c r="J29" s="219">
        <f t="shared" si="0"/>
        <v>5</v>
      </c>
      <c r="K29" s="225">
        <v>5</v>
      </c>
      <c r="L29" s="221">
        <v>0</v>
      </c>
      <c r="M29" s="222">
        <v>0</v>
      </c>
      <c r="N29" s="222">
        <v>0</v>
      </c>
      <c r="O29" s="222">
        <v>-1</v>
      </c>
      <c r="P29" s="222">
        <v>0</v>
      </c>
      <c r="Q29" s="219">
        <f t="shared" si="1"/>
        <v>-1</v>
      </c>
      <c r="R29" s="222">
        <v>0</v>
      </c>
      <c r="S29" s="223">
        <v>0</v>
      </c>
      <c r="T29" s="224">
        <v>1</v>
      </c>
      <c r="U29" s="224">
        <v>2</v>
      </c>
      <c r="V29" s="224">
        <v>1</v>
      </c>
      <c r="W29" s="224">
        <v>0</v>
      </c>
      <c r="X29" s="219">
        <f t="shared" si="2"/>
        <v>4</v>
      </c>
      <c r="Y29" s="225">
        <v>5</v>
      </c>
      <c r="Z29" s="247" t="e">
        <f>VLOOKUP($D29,#REF!, Z$1-21, FALSE)*S29</f>
        <v>#REF!</v>
      </c>
      <c r="AA29" s="218" t="e">
        <f>VLOOKUP($D29,#REF!, AA$1-21, FALSE)*T29</f>
        <v>#REF!</v>
      </c>
      <c r="AB29" s="218" t="e">
        <f>VLOOKUP($D29,#REF!, AB$1-21, FALSE)*U29</f>
        <v>#REF!</v>
      </c>
      <c r="AC29" s="218" t="e">
        <f>VLOOKUP($D29,#REF!, AC$1-21, FALSE)*V29</f>
        <v>#REF!</v>
      </c>
      <c r="AD29" s="218" t="e">
        <f>VLOOKUP($D29,#REF!, AD$1-21, FALSE)*W29</f>
        <v>#REF!</v>
      </c>
      <c r="AE29" s="219" t="e">
        <f t="shared" si="7"/>
        <v>#REF!</v>
      </c>
      <c r="AF29" s="248" t="e">
        <f>VLOOKUP($D29,#REF!, AF$1-22, FALSE)*Y29</f>
        <v>#REF!</v>
      </c>
      <c r="AG29" s="223" t="e">
        <f t="shared" si="3"/>
        <v>#REF!</v>
      </c>
      <c r="AH29" s="224" t="e">
        <f t="shared" si="4"/>
        <v>#REF!</v>
      </c>
      <c r="AI29" s="225" t="e">
        <f t="shared" si="5"/>
        <v>#REF!</v>
      </c>
      <c r="AJ29" s="137">
        <v>2544984</v>
      </c>
      <c r="AK29" s="150" t="e">
        <f t="shared" si="6"/>
        <v>#REF!</v>
      </c>
      <c r="AL29" s="111" t="e">
        <f>VLOOKUP($D29,#REF!,9,FALSE)-AG29</f>
        <v>#REF!</v>
      </c>
      <c r="AM29" s="111" t="e">
        <f>VLOOKUP($D29,#REF!,10,FALSE)-AH29</f>
        <v>#REF!</v>
      </c>
    </row>
    <row r="30" spans="1:39" x14ac:dyDescent="0.3">
      <c r="A30" s="102">
        <v>27</v>
      </c>
      <c r="B30" s="103" t="s">
        <v>370</v>
      </c>
      <c r="C30" s="93" t="s">
        <v>86</v>
      </c>
      <c r="D30" s="94" t="s">
        <v>87</v>
      </c>
      <c r="E30" s="223">
        <v>1</v>
      </c>
      <c r="F30" s="224">
        <v>0</v>
      </c>
      <c r="G30" s="224">
        <v>5</v>
      </c>
      <c r="H30" s="224">
        <v>2</v>
      </c>
      <c r="I30" s="224">
        <v>1</v>
      </c>
      <c r="J30" s="219">
        <f t="shared" si="0"/>
        <v>9</v>
      </c>
      <c r="K30" s="225">
        <v>12</v>
      </c>
      <c r="L30" s="221">
        <v>0</v>
      </c>
      <c r="M30" s="222">
        <v>0</v>
      </c>
      <c r="N30" s="222">
        <v>-1</v>
      </c>
      <c r="O30" s="222">
        <v>-1</v>
      </c>
      <c r="P30" s="222">
        <v>-1</v>
      </c>
      <c r="Q30" s="219">
        <f t="shared" si="1"/>
        <v>-3</v>
      </c>
      <c r="R30" s="222">
        <v>0</v>
      </c>
      <c r="S30" s="223">
        <v>1</v>
      </c>
      <c r="T30" s="224">
        <v>0</v>
      </c>
      <c r="U30" s="224">
        <v>4</v>
      </c>
      <c r="V30" s="224">
        <v>1</v>
      </c>
      <c r="W30" s="224">
        <v>0</v>
      </c>
      <c r="X30" s="219">
        <f t="shared" si="2"/>
        <v>6</v>
      </c>
      <c r="Y30" s="225">
        <v>12</v>
      </c>
      <c r="Z30" s="247" t="e">
        <f>VLOOKUP($D30,#REF!, Z$1-21, FALSE)*S30</f>
        <v>#REF!</v>
      </c>
      <c r="AA30" s="218" t="e">
        <f>VLOOKUP($D30,#REF!, AA$1-21, FALSE)*T30</f>
        <v>#REF!</v>
      </c>
      <c r="AB30" s="218" t="e">
        <f>VLOOKUP($D30,#REF!, AB$1-21, FALSE)*U30</f>
        <v>#REF!</v>
      </c>
      <c r="AC30" s="218" t="e">
        <f>VLOOKUP($D30,#REF!, AC$1-21, FALSE)*V30</f>
        <v>#REF!</v>
      </c>
      <c r="AD30" s="218" t="e">
        <f>VLOOKUP($D30,#REF!, AD$1-21, FALSE)*W30</f>
        <v>#REF!</v>
      </c>
      <c r="AE30" s="219" t="e">
        <f t="shared" si="7"/>
        <v>#REF!</v>
      </c>
      <c r="AF30" s="248" t="e">
        <f>VLOOKUP($D30,#REF!, AF$1-22, FALSE)*Y30</f>
        <v>#REF!</v>
      </c>
      <c r="AG30" s="223" t="e">
        <f t="shared" si="3"/>
        <v>#REF!</v>
      </c>
      <c r="AH30" s="224" t="e">
        <f t="shared" si="4"/>
        <v>#REF!</v>
      </c>
      <c r="AI30" s="225" t="e">
        <f t="shared" si="5"/>
        <v>#REF!</v>
      </c>
      <c r="AJ30" s="137">
        <v>270548</v>
      </c>
      <c r="AK30" s="150" t="e">
        <f t="shared" si="6"/>
        <v>#REF!</v>
      </c>
      <c r="AL30" s="111" t="e">
        <f>VLOOKUP($D30,#REF!,9,FALSE)-AG30</f>
        <v>#REF!</v>
      </c>
      <c r="AM30" s="111" t="e">
        <f>VLOOKUP($D30,#REF!,10,FALSE)-AH30</f>
        <v>#REF!</v>
      </c>
    </row>
    <row r="31" spans="1:39" x14ac:dyDescent="0.3">
      <c r="A31" s="102">
        <v>28</v>
      </c>
      <c r="B31" s="103" t="s">
        <v>88</v>
      </c>
      <c r="C31" s="93" t="s">
        <v>89</v>
      </c>
      <c r="D31" s="94" t="s">
        <v>90</v>
      </c>
      <c r="E31" s="223">
        <v>0</v>
      </c>
      <c r="F31" s="224">
        <v>0</v>
      </c>
      <c r="G31" s="224">
        <v>1</v>
      </c>
      <c r="H31" s="224">
        <v>0</v>
      </c>
      <c r="I31" s="224">
        <v>0</v>
      </c>
      <c r="J31" s="219">
        <f t="shared" si="0"/>
        <v>1</v>
      </c>
      <c r="K31" s="225">
        <v>2</v>
      </c>
      <c r="L31" s="221">
        <v>0</v>
      </c>
      <c r="M31" s="222">
        <v>0</v>
      </c>
      <c r="N31" s="222">
        <v>0</v>
      </c>
      <c r="O31" s="222">
        <v>0</v>
      </c>
      <c r="P31" s="222">
        <v>0</v>
      </c>
      <c r="Q31" s="219">
        <f t="shared" si="1"/>
        <v>0</v>
      </c>
      <c r="R31" s="222">
        <v>0</v>
      </c>
      <c r="S31" s="223">
        <v>0</v>
      </c>
      <c r="T31" s="224">
        <v>0</v>
      </c>
      <c r="U31" s="224">
        <v>1</v>
      </c>
      <c r="V31" s="224">
        <v>0</v>
      </c>
      <c r="W31" s="224">
        <v>0</v>
      </c>
      <c r="X31" s="219">
        <f t="shared" si="2"/>
        <v>1</v>
      </c>
      <c r="Y31" s="225">
        <v>2</v>
      </c>
      <c r="Z31" s="247" t="e">
        <f>VLOOKUP($D31,#REF!, Z$1-21, FALSE)*S31</f>
        <v>#REF!</v>
      </c>
      <c r="AA31" s="218" t="e">
        <f>VLOOKUP($D31,#REF!, AA$1-21, FALSE)*T31</f>
        <v>#REF!</v>
      </c>
      <c r="AB31" s="218" t="e">
        <f>VLOOKUP($D31,#REF!, AB$1-21, FALSE)*U31</f>
        <v>#REF!</v>
      </c>
      <c r="AC31" s="218" t="e">
        <f>VLOOKUP($D31,#REF!, AC$1-21, FALSE)*V31</f>
        <v>#REF!</v>
      </c>
      <c r="AD31" s="218" t="e">
        <f>VLOOKUP($D31,#REF!, AD$1-21, FALSE)*W31</f>
        <v>#REF!</v>
      </c>
      <c r="AE31" s="219" t="e">
        <f t="shared" si="7"/>
        <v>#REF!</v>
      </c>
      <c r="AF31" s="248" t="e">
        <f>VLOOKUP($D31,#REF!, AF$1-22, FALSE)*Y31</f>
        <v>#REF!</v>
      </c>
      <c r="AG31" s="223" t="e">
        <f t="shared" si="3"/>
        <v>#REF!</v>
      </c>
      <c r="AH31" s="224" t="e">
        <f t="shared" si="4"/>
        <v>#REF!</v>
      </c>
      <c r="AI31" s="225" t="e">
        <f t="shared" si="5"/>
        <v>#REF!</v>
      </c>
      <c r="AJ31" s="137">
        <v>286175</v>
      </c>
      <c r="AK31" s="150" t="e">
        <f t="shared" si="6"/>
        <v>#REF!</v>
      </c>
      <c r="AL31" s="111" t="e">
        <f>VLOOKUP($D31,#REF!,9,FALSE)-AG31</f>
        <v>#REF!</v>
      </c>
      <c r="AM31" s="111" t="e">
        <f>VLOOKUP($D31,#REF!,10,FALSE)-AH31</f>
        <v>#REF!</v>
      </c>
    </row>
    <row r="32" spans="1:39" x14ac:dyDescent="0.3">
      <c r="A32" s="102">
        <v>29</v>
      </c>
      <c r="B32" s="103" t="s">
        <v>91</v>
      </c>
      <c r="C32" s="93" t="s">
        <v>92</v>
      </c>
      <c r="D32" s="94" t="s">
        <v>93</v>
      </c>
      <c r="E32" s="223">
        <v>0</v>
      </c>
      <c r="F32" s="224">
        <v>0</v>
      </c>
      <c r="G32" s="224">
        <v>1</v>
      </c>
      <c r="H32" s="224">
        <v>0</v>
      </c>
      <c r="I32" s="224">
        <v>0</v>
      </c>
      <c r="J32" s="219">
        <f t="shared" si="0"/>
        <v>1</v>
      </c>
      <c r="K32" s="225">
        <v>2</v>
      </c>
      <c r="L32" s="221">
        <v>0</v>
      </c>
      <c r="M32" s="222">
        <v>0</v>
      </c>
      <c r="N32" s="222">
        <v>1</v>
      </c>
      <c r="O32" s="222">
        <v>0</v>
      </c>
      <c r="P32" s="222">
        <v>0</v>
      </c>
      <c r="Q32" s="219">
        <f t="shared" si="1"/>
        <v>1</v>
      </c>
      <c r="R32" s="222">
        <v>0</v>
      </c>
      <c r="S32" s="223">
        <v>0</v>
      </c>
      <c r="T32" s="224">
        <v>0</v>
      </c>
      <c r="U32" s="224">
        <v>1</v>
      </c>
      <c r="V32" s="224">
        <v>0</v>
      </c>
      <c r="W32" s="224">
        <v>0</v>
      </c>
      <c r="X32" s="219">
        <f t="shared" si="2"/>
        <v>1</v>
      </c>
      <c r="Y32" s="225">
        <v>2</v>
      </c>
      <c r="Z32" s="247" t="e">
        <f>VLOOKUP($D32,#REF!, Z$1-21, FALSE)*S32</f>
        <v>#REF!</v>
      </c>
      <c r="AA32" s="218" t="e">
        <f>VLOOKUP($D32,#REF!, AA$1-21, FALSE)*T32</f>
        <v>#REF!</v>
      </c>
      <c r="AB32" s="218" t="e">
        <f>VLOOKUP($D32,#REF!, AB$1-21, FALSE)*U32</f>
        <v>#REF!</v>
      </c>
      <c r="AC32" s="218" t="e">
        <f>VLOOKUP($D32,#REF!, AC$1-21, FALSE)*V32</f>
        <v>#REF!</v>
      </c>
      <c r="AD32" s="218" t="e">
        <f>VLOOKUP($D32,#REF!, AD$1-21, FALSE)*W32</f>
        <v>#REF!</v>
      </c>
      <c r="AE32" s="219" t="e">
        <f t="shared" si="7"/>
        <v>#REF!</v>
      </c>
      <c r="AF32" s="248" t="e">
        <f>VLOOKUP($D32,#REF!, AF$1-22, FALSE)*Y32</f>
        <v>#REF!</v>
      </c>
      <c r="AG32" s="223" t="e">
        <f t="shared" si="3"/>
        <v>#REF!</v>
      </c>
      <c r="AH32" s="224" t="e">
        <f t="shared" si="4"/>
        <v>#REF!</v>
      </c>
      <c r="AI32" s="225" t="e">
        <f t="shared" si="5"/>
        <v>#REF!</v>
      </c>
      <c r="AJ32" s="137">
        <v>512004</v>
      </c>
      <c r="AK32" s="150" t="e">
        <f t="shared" si="6"/>
        <v>#REF!</v>
      </c>
      <c r="AL32" s="111" t="e">
        <f>VLOOKUP($D32,#REF!,9,FALSE)-AG32</f>
        <v>#REF!</v>
      </c>
      <c r="AM32" s="111" t="e">
        <f>VLOOKUP($D32,#REF!,10,FALSE)-AH32</f>
        <v>#REF!</v>
      </c>
    </row>
    <row r="33" spans="1:39" x14ac:dyDescent="0.3">
      <c r="A33" s="102">
        <v>30</v>
      </c>
      <c r="B33" s="103" t="s">
        <v>390</v>
      </c>
      <c r="C33" s="93" t="s">
        <v>94</v>
      </c>
      <c r="D33" s="94" t="s">
        <v>95</v>
      </c>
      <c r="E33" s="223">
        <v>0</v>
      </c>
      <c r="F33" s="224">
        <v>0</v>
      </c>
      <c r="G33" s="224">
        <v>1</v>
      </c>
      <c r="H33" s="224">
        <v>1</v>
      </c>
      <c r="I33" s="224">
        <v>0</v>
      </c>
      <c r="J33" s="219">
        <f t="shared" si="0"/>
        <v>2</v>
      </c>
      <c r="K33" s="225">
        <v>3</v>
      </c>
      <c r="L33" s="221">
        <v>0</v>
      </c>
      <c r="M33" s="222">
        <v>0</v>
      </c>
      <c r="N33" s="222">
        <v>0</v>
      </c>
      <c r="O33" s="222">
        <v>0</v>
      </c>
      <c r="P33" s="222">
        <v>0</v>
      </c>
      <c r="Q33" s="219">
        <f t="shared" si="1"/>
        <v>0</v>
      </c>
      <c r="R33" s="222">
        <v>0</v>
      </c>
      <c r="S33" s="223">
        <v>0</v>
      </c>
      <c r="T33" s="224">
        <v>0</v>
      </c>
      <c r="U33" s="224">
        <v>1</v>
      </c>
      <c r="V33" s="224">
        <v>1</v>
      </c>
      <c r="W33" s="224">
        <v>0</v>
      </c>
      <c r="X33" s="219">
        <f t="shared" si="2"/>
        <v>2</v>
      </c>
      <c r="Y33" s="225">
        <v>3</v>
      </c>
      <c r="Z33" s="247" t="e">
        <f>VLOOKUP($D33,#REF!, Z$1-21, FALSE)*S33</f>
        <v>#REF!</v>
      </c>
      <c r="AA33" s="218" t="e">
        <f>VLOOKUP($D33,#REF!, AA$1-21, FALSE)*T33</f>
        <v>#REF!</v>
      </c>
      <c r="AB33" s="218" t="e">
        <f>VLOOKUP($D33,#REF!, AB$1-21, FALSE)*U33</f>
        <v>#REF!</v>
      </c>
      <c r="AC33" s="218" t="e">
        <f>VLOOKUP($D33,#REF!, AC$1-21, FALSE)*V33</f>
        <v>#REF!</v>
      </c>
      <c r="AD33" s="218" t="e">
        <f>VLOOKUP($D33,#REF!, AD$1-21, FALSE)*W33</f>
        <v>#REF!</v>
      </c>
      <c r="AE33" s="219" t="e">
        <f t="shared" si="7"/>
        <v>#REF!</v>
      </c>
      <c r="AF33" s="248" t="e">
        <f>VLOOKUP($D33,#REF!, AF$1-22, FALSE)*Y33</f>
        <v>#REF!</v>
      </c>
      <c r="AG33" s="223" t="e">
        <f t="shared" si="3"/>
        <v>#REF!</v>
      </c>
      <c r="AH33" s="224" t="e">
        <f t="shared" si="4"/>
        <v>#REF!</v>
      </c>
      <c r="AI33" s="225" t="e">
        <f t="shared" si="5"/>
        <v>#REF!</v>
      </c>
      <c r="AJ33" s="137">
        <v>269219</v>
      </c>
      <c r="AK33" s="150" t="e">
        <f t="shared" si="6"/>
        <v>#REF!</v>
      </c>
      <c r="AL33" s="111" t="e">
        <f>VLOOKUP($D33,#REF!,9,FALSE)-AG33</f>
        <v>#REF!</v>
      </c>
      <c r="AM33" s="111" t="e">
        <f>VLOOKUP($D33,#REF!,10,FALSE)-AH33</f>
        <v>#REF!</v>
      </c>
    </row>
    <row r="34" spans="1:39" x14ac:dyDescent="0.3">
      <c r="A34" s="102">
        <v>31</v>
      </c>
      <c r="B34" s="103" t="s">
        <v>96</v>
      </c>
      <c r="C34" s="93" t="s">
        <v>97</v>
      </c>
      <c r="D34" s="94" t="s">
        <v>98</v>
      </c>
      <c r="E34" s="223">
        <v>0</v>
      </c>
      <c r="F34" s="224">
        <v>0</v>
      </c>
      <c r="G34" s="224">
        <v>1</v>
      </c>
      <c r="H34" s="224">
        <v>0</v>
      </c>
      <c r="I34" s="224">
        <v>0</v>
      </c>
      <c r="J34" s="219">
        <f t="shared" si="0"/>
        <v>1</v>
      </c>
      <c r="K34" s="225">
        <v>2</v>
      </c>
      <c r="L34" s="221">
        <v>0</v>
      </c>
      <c r="M34" s="222">
        <v>0</v>
      </c>
      <c r="N34" s="222">
        <v>0</v>
      </c>
      <c r="O34" s="222">
        <v>0</v>
      </c>
      <c r="P34" s="222">
        <v>0</v>
      </c>
      <c r="Q34" s="219">
        <f t="shared" si="1"/>
        <v>0</v>
      </c>
      <c r="R34" s="222">
        <v>0</v>
      </c>
      <c r="S34" s="223">
        <v>0</v>
      </c>
      <c r="T34" s="224">
        <v>0</v>
      </c>
      <c r="U34" s="224">
        <v>1</v>
      </c>
      <c r="V34" s="224">
        <v>0</v>
      </c>
      <c r="W34" s="224">
        <v>0</v>
      </c>
      <c r="X34" s="219">
        <f t="shared" si="2"/>
        <v>1</v>
      </c>
      <c r="Y34" s="225">
        <v>2</v>
      </c>
      <c r="Z34" s="247" t="e">
        <f>VLOOKUP($D34,#REF!, Z$1-21, FALSE)*S34</f>
        <v>#REF!</v>
      </c>
      <c r="AA34" s="218" t="e">
        <f>VLOOKUP($D34,#REF!, AA$1-21, FALSE)*T34</f>
        <v>#REF!</v>
      </c>
      <c r="AB34" s="218" t="e">
        <f>VLOOKUP($D34,#REF!, AB$1-21, FALSE)*U34</f>
        <v>#REF!</v>
      </c>
      <c r="AC34" s="218" t="e">
        <f>VLOOKUP($D34,#REF!, AC$1-21, FALSE)*V34</f>
        <v>#REF!</v>
      </c>
      <c r="AD34" s="218" t="e">
        <f>VLOOKUP($D34,#REF!, AD$1-21, FALSE)*W34</f>
        <v>#REF!</v>
      </c>
      <c r="AE34" s="219" t="e">
        <f t="shared" si="7"/>
        <v>#REF!</v>
      </c>
      <c r="AF34" s="248" t="e">
        <f>VLOOKUP($D34,#REF!, AF$1-22, FALSE)*Y34</f>
        <v>#REF!</v>
      </c>
      <c r="AG34" s="223" t="e">
        <f t="shared" si="3"/>
        <v>#REF!</v>
      </c>
      <c r="AH34" s="224" t="e">
        <f t="shared" si="4"/>
        <v>#REF!</v>
      </c>
      <c r="AI34" s="225" t="e">
        <f t="shared" si="5"/>
        <v>#REF!</v>
      </c>
      <c r="AJ34" s="137">
        <v>351074</v>
      </c>
      <c r="AK34" s="150" t="e">
        <f t="shared" si="6"/>
        <v>#REF!</v>
      </c>
      <c r="AL34" s="111" t="e">
        <f>VLOOKUP($D34,#REF!,9,FALSE)-AG34</f>
        <v>#REF!</v>
      </c>
      <c r="AM34" s="111" t="e">
        <f>VLOOKUP($D34,#REF!,10,FALSE)-AH34</f>
        <v>#REF!</v>
      </c>
    </row>
    <row r="35" spans="1:39" x14ac:dyDescent="0.3">
      <c r="A35" s="102">
        <v>32</v>
      </c>
      <c r="B35" s="103" t="s">
        <v>99</v>
      </c>
      <c r="C35" s="93" t="s">
        <v>100</v>
      </c>
      <c r="D35" s="94" t="s">
        <v>101</v>
      </c>
      <c r="E35" s="223">
        <v>0</v>
      </c>
      <c r="F35" s="224">
        <v>0</v>
      </c>
      <c r="G35" s="224">
        <v>1</v>
      </c>
      <c r="H35" s="224">
        <v>1</v>
      </c>
      <c r="I35" s="224">
        <v>0</v>
      </c>
      <c r="J35" s="219">
        <f t="shared" si="0"/>
        <v>2</v>
      </c>
      <c r="K35" s="225">
        <v>3</v>
      </c>
      <c r="L35" s="221">
        <v>0</v>
      </c>
      <c r="M35" s="222">
        <v>0</v>
      </c>
      <c r="N35" s="222">
        <v>0</v>
      </c>
      <c r="O35" s="222">
        <v>0</v>
      </c>
      <c r="P35" s="222">
        <v>0</v>
      </c>
      <c r="Q35" s="219">
        <f t="shared" si="1"/>
        <v>0</v>
      </c>
      <c r="R35" s="222">
        <v>0</v>
      </c>
      <c r="S35" s="223">
        <v>0</v>
      </c>
      <c r="T35" s="224">
        <v>0</v>
      </c>
      <c r="U35" s="224">
        <v>1</v>
      </c>
      <c r="V35" s="224">
        <v>1</v>
      </c>
      <c r="W35" s="224">
        <v>0</v>
      </c>
      <c r="X35" s="219">
        <f t="shared" si="2"/>
        <v>2</v>
      </c>
      <c r="Y35" s="225">
        <v>3</v>
      </c>
      <c r="Z35" s="247" t="e">
        <f>VLOOKUP($D35,#REF!, Z$1-21, FALSE)*S35</f>
        <v>#REF!</v>
      </c>
      <c r="AA35" s="218" t="e">
        <f>VLOOKUP($D35,#REF!, AA$1-21, FALSE)*T35</f>
        <v>#REF!</v>
      </c>
      <c r="AB35" s="218" t="e">
        <f>VLOOKUP($D35,#REF!, AB$1-21, FALSE)*U35</f>
        <v>#REF!</v>
      </c>
      <c r="AC35" s="218" t="e">
        <f>VLOOKUP($D35,#REF!, AC$1-21, FALSE)*V35</f>
        <v>#REF!</v>
      </c>
      <c r="AD35" s="218" t="e">
        <f>VLOOKUP($D35,#REF!, AD$1-21, FALSE)*W35</f>
        <v>#REF!</v>
      </c>
      <c r="AE35" s="219" t="e">
        <f t="shared" si="7"/>
        <v>#REF!</v>
      </c>
      <c r="AF35" s="248" t="e">
        <f>VLOOKUP($D35,#REF!, AF$1-22, FALSE)*Y35</f>
        <v>#REF!</v>
      </c>
      <c r="AG35" s="223" t="e">
        <f t="shared" si="3"/>
        <v>#REF!</v>
      </c>
      <c r="AH35" s="224" t="e">
        <f t="shared" si="4"/>
        <v>#REF!</v>
      </c>
      <c r="AI35" s="225" t="e">
        <f t="shared" si="5"/>
        <v>#REF!</v>
      </c>
      <c r="AJ35" s="137">
        <v>271404</v>
      </c>
      <c r="AK35" s="150" t="e">
        <f t="shared" si="6"/>
        <v>#REF!</v>
      </c>
      <c r="AL35" s="111" t="e">
        <f>VLOOKUP($D35,#REF!,9,FALSE)-AG35</f>
        <v>#REF!</v>
      </c>
      <c r="AM35" s="111" t="e">
        <f>VLOOKUP($D35,#REF!,10,FALSE)-AH35</f>
        <v>#REF!</v>
      </c>
    </row>
    <row r="36" spans="1:39" x14ac:dyDescent="0.3">
      <c r="A36" s="102">
        <v>33</v>
      </c>
      <c r="B36" s="103" t="s">
        <v>410</v>
      </c>
      <c r="C36" s="93" t="s">
        <v>102</v>
      </c>
      <c r="D36" s="94" t="s">
        <v>103</v>
      </c>
      <c r="E36" s="223">
        <v>0</v>
      </c>
      <c r="F36" s="224">
        <v>0</v>
      </c>
      <c r="G36" s="224">
        <v>1</v>
      </c>
      <c r="H36" s="224">
        <v>0</v>
      </c>
      <c r="I36" s="224">
        <v>0</v>
      </c>
      <c r="J36" s="219">
        <f t="shared" si="0"/>
        <v>1</v>
      </c>
      <c r="K36" s="225">
        <v>2</v>
      </c>
      <c r="L36" s="221">
        <v>0</v>
      </c>
      <c r="M36" s="222">
        <v>0</v>
      </c>
      <c r="N36" s="222">
        <v>0</v>
      </c>
      <c r="O36" s="222">
        <v>0</v>
      </c>
      <c r="P36" s="222">
        <v>0</v>
      </c>
      <c r="Q36" s="219">
        <f t="shared" si="1"/>
        <v>0</v>
      </c>
      <c r="R36" s="222">
        <v>0</v>
      </c>
      <c r="S36" s="223">
        <v>0</v>
      </c>
      <c r="T36" s="224">
        <v>0</v>
      </c>
      <c r="U36" s="224">
        <v>1</v>
      </c>
      <c r="V36" s="224">
        <v>0</v>
      </c>
      <c r="W36" s="224">
        <v>0</v>
      </c>
      <c r="X36" s="219">
        <f t="shared" si="2"/>
        <v>1</v>
      </c>
      <c r="Y36" s="225">
        <v>2</v>
      </c>
      <c r="Z36" s="247" t="e">
        <f>VLOOKUP($D36,#REF!, Z$1-21, FALSE)*S36</f>
        <v>#REF!</v>
      </c>
      <c r="AA36" s="218" t="e">
        <f>VLOOKUP($D36,#REF!, AA$1-21, FALSE)*T36</f>
        <v>#REF!</v>
      </c>
      <c r="AB36" s="218" t="e">
        <f>VLOOKUP($D36,#REF!, AB$1-21, FALSE)*U36</f>
        <v>#REF!</v>
      </c>
      <c r="AC36" s="218" t="e">
        <f>VLOOKUP($D36,#REF!, AC$1-21, FALSE)*V36</f>
        <v>#REF!</v>
      </c>
      <c r="AD36" s="218" t="e">
        <f>VLOOKUP($D36,#REF!, AD$1-21, FALSE)*W36</f>
        <v>#REF!</v>
      </c>
      <c r="AE36" s="219" t="e">
        <f t="shared" si="7"/>
        <v>#REF!</v>
      </c>
      <c r="AF36" s="248" t="e">
        <f>VLOOKUP($D36,#REF!, AF$1-22, FALSE)*Y36</f>
        <v>#REF!</v>
      </c>
      <c r="AG36" s="223" t="e">
        <f t="shared" si="3"/>
        <v>#REF!</v>
      </c>
      <c r="AH36" s="224" t="e">
        <f t="shared" si="4"/>
        <v>#REF!</v>
      </c>
      <c r="AI36" s="225" t="e">
        <f t="shared" si="5"/>
        <v>#REF!</v>
      </c>
      <c r="AJ36" s="137">
        <v>233859</v>
      </c>
      <c r="AK36" s="150" t="e">
        <f t="shared" si="6"/>
        <v>#REF!</v>
      </c>
      <c r="AL36" s="111" t="e">
        <f>VLOOKUP($D36,#REF!,9,FALSE)-AG36</f>
        <v>#REF!</v>
      </c>
      <c r="AM36" s="111" t="e">
        <f>VLOOKUP($D36,#REF!,10,FALSE)-AH36</f>
        <v>#REF!</v>
      </c>
    </row>
    <row r="37" spans="1:39" x14ac:dyDescent="0.3">
      <c r="A37" s="102">
        <v>34</v>
      </c>
      <c r="B37" s="103" t="s">
        <v>371</v>
      </c>
      <c r="C37" s="93" t="s">
        <v>104</v>
      </c>
      <c r="D37" s="94" t="s">
        <v>105</v>
      </c>
      <c r="E37" s="223">
        <v>0</v>
      </c>
      <c r="F37" s="224">
        <v>0</v>
      </c>
      <c r="G37" s="224">
        <v>1</v>
      </c>
      <c r="H37" s="224">
        <v>0</v>
      </c>
      <c r="I37" s="224">
        <v>0</v>
      </c>
      <c r="J37" s="219">
        <f t="shared" si="0"/>
        <v>1</v>
      </c>
      <c r="K37" s="225">
        <v>2</v>
      </c>
      <c r="L37" s="221">
        <v>0</v>
      </c>
      <c r="M37" s="222">
        <v>0</v>
      </c>
      <c r="N37" s="222">
        <v>0</v>
      </c>
      <c r="O37" s="222">
        <v>0</v>
      </c>
      <c r="P37" s="222">
        <v>0</v>
      </c>
      <c r="Q37" s="219">
        <f t="shared" si="1"/>
        <v>0</v>
      </c>
      <c r="R37" s="222">
        <v>0</v>
      </c>
      <c r="S37" s="223">
        <v>0</v>
      </c>
      <c r="T37" s="224">
        <v>0</v>
      </c>
      <c r="U37" s="224">
        <v>1</v>
      </c>
      <c r="V37" s="224">
        <v>0</v>
      </c>
      <c r="W37" s="224">
        <v>0</v>
      </c>
      <c r="X37" s="219">
        <f t="shared" si="2"/>
        <v>1</v>
      </c>
      <c r="Y37" s="225">
        <v>2</v>
      </c>
      <c r="Z37" s="247" t="e">
        <f>VLOOKUP($D37,#REF!, Z$1-21, FALSE)*S37</f>
        <v>#REF!</v>
      </c>
      <c r="AA37" s="218" t="e">
        <f>VLOOKUP($D37,#REF!, AA$1-21, FALSE)*T37</f>
        <v>#REF!</v>
      </c>
      <c r="AB37" s="218" t="e">
        <f>VLOOKUP($D37,#REF!, AB$1-21, FALSE)*U37</f>
        <v>#REF!</v>
      </c>
      <c r="AC37" s="218" t="e">
        <f>VLOOKUP($D37,#REF!, AC$1-21, FALSE)*V37</f>
        <v>#REF!</v>
      </c>
      <c r="AD37" s="218" t="e">
        <f>VLOOKUP($D37,#REF!, AD$1-21, FALSE)*W37</f>
        <v>#REF!</v>
      </c>
      <c r="AE37" s="219" t="e">
        <f t="shared" si="7"/>
        <v>#REF!</v>
      </c>
      <c r="AF37" s="248" t="e">
        <f>VLOOKUP($D37,#REF!, AF$1-22, FALSE)*Y37</f>
        <v>#REF!</v>
      </c>
      <c r="AG37" s="223" t="e">
        <f t="shared" si="3"/>
        <v>#REF!</v>
      </c>
      <c r="AH37" s="224" t="e">
        <f t="shared" si="4"/>
        <v>#REF!</v>
      </c>
      <c r="AI37" s="225" t="e">
        <f t="shared" si="5"/>
        <v>#REF!</v>
      </c>
      <c r="AJ37" s="137">
        <v>10441</v>
      </c>
      <c r="AK37" s="150" t="e">
        <f t="shared" si="6"/>
        <v>#REF!</v>
      </c>
      <c r="AL37" s="111" t="e">
        <f>VLOOKUP($D37,#REF!,9,FALSE)-AG37</f>
        <v>#REF!</v>
      </c>
      <c r="AM37" s="111" t="e">
        <f>VLOOKUP($D37,#REF!,10,FALSE)-AH37</f>
        <v>#REF!</v>
      </c>
    </row>
    <row r="38" spans="1:39" x14ac:dyDescent="0.3">
      <c r="A38" s="102">
        <v>35</v>
      </c>
      <c r="B38" s="103" t="s">
        <v>106</v>
      </c>
      <c r="C38" s="93" t="s">
        <v>107</v>
      </c>
      <c r="D38" s="94" t="s">
        <v>108</v>
      </c>
      <c r="E38" s="223">
        <v>0</v>
      </c>
      <c r="F38" s="224">
        <v>0</v>
      </c>
      <c r="G38" s="224">
        <v>0</v>
      </c>
      <c r="H38" s="224">
        <v>0</v>
      </c>
      <c r="I38" s="224">
        <v>0</v>
      </c>
      <c r="J38" s="219">
        <f t="shared" si="0"/>
        <v>0</v>
      </c>
      <c r="K38" s="225">
        <v>2</v>
      </c>
      <c r="L38" s="221">
        <v>0</v>
      </c>
      <c r="M38" s="222">
        <v>0</v>
      </c>
      <c r="N38" s="222">
        <v>0</v>
      </c>
      <c r="O38" s="222">
        <v>0</v>
      </c>
      <c r="P38" s="222">
        <v>0</v>
      </c>
      <c r="Q38" s="219">
        <f t="shared" si="1"/>
        <v>0</v>
      </c>
      <c r="R38" s="222">
        <v>0</v>
      </c>
      <c r="S38" s="223">
        <v>0</v>
      </c>
      <c r="T38" s="224">
        <v>0</v>
      </c>
      <c r="U38" s="224">
        <v>0</v>
      </c>
      <c r="V38" s="224">
        <v>0</v>
      </c>
      <c r="W38" s="224">
        <v>0</v>
      </c>
      <c r="X38" s="219">
        <f t="shared" si="2"/>
        <v>0</v>
      </c>
      <c r="Y38" s="225">
        <v>2</v>
      </c>
      <c r="Z38" s="247" t="e">
        <f>VLOOKUP($D38,#REF!, Z$1-21, FALSE)*S38</f>
        <v>#REF!</v>
      </c>
      <c r="AA38" s="218" t="e">
        <f>VLOOKUP($D38,#REF!, AA$1-21, FALSE)*T38</f>
        <v>#REF!</v>
      </c>
      <c r="AB38" s="218" t="e">
        <f>VLOOKUP($D38,#REF!, AB$1-21, FALSE)*U38</f>
        <v>#REF!</v>
      </c>
      <c r="AC38" s="218" t="e">
        <f>VLOOKUP($D38,#REF!, AC$1-21, FALSE)*V38</f>
        <v>#REF!</v>
      </c>
      <c r="AD38" s="218" t="e">
        <f>VLOOKUP($D38,#REF!, AD$1-21, FALSE)*W38</f>
        <v>#REF!</v>
      </c>
      <c r="AE38" s="219" t="e">
        <f t="shared" si="7"/>
        <v>#REF!</v>
      </c>
      <c r="AF38" s="248" t="e">
        <f>VLOOKUP($D38,#REF!, AF$1-22, FALSE)*Y38</f>
        <v>#REF!</v>
      </c>
      <c r="AG38" s="223" t="e">
        <f t="shared" si="3"/>
        <v>#REF!</v>
      </c>
      <c r="AH38" s="224" t="e">
        <f t="shared" si="4"/>
        <v>#REF!</v>
      </c>
      <c r="AI38" s="225" t="e">
        <f t="shared" si="5"/>
        <v>#REF!</v>
      </c>
      <c r="AJ38" s="137">
        <v>647718</v>
      </c>
      <c r="AK38" s="150" t="e">
        <f t="shared" si="6"/>
        <v>#REF!</v>
      </c>
      <c r="AL38" s="111" t="e">
        <f>VLOOKUP($D38,#REF!,9,FALSE)-AG38</f>
        <v>#REF!</v>
      </c>
      <c r="AM38" s="111" t="e">
        <f>VLOOKUP($D38,#REF!,10,FALSE)-AH38</f>
        <v>#REF!</v>
      </c>
    </row>
    <row r="39" spans="1:39" x14ac:dyDescent="0.3">
      <c r="A39" s="102">
        <v>36</v>
      </c>
      <c r="B39" s="103" t="s">
        <v>109</v>
      </c>
      <c r="C39" s="93" t="s">
        <v>110</v>
      </c>
      <c r="D39" s="94" t="s">
        <v>111</v>
      </c>
      <c r="E39" s="223">
        <v>0</v>
      </c>
      <c r="F39" s="224">
        <v>0</v>
      </c>
      <c r="G39" s="224">
        <v>1</v>
      </c>
      <c r="H39" s="224">
        <v>2</v>
      </c>
      <c r="I39" s="224">
        <v>0</v>
      </c>
      <c r="J39" s="219">
        <f t="shared" si="0"/>
        <v>3</v>
      </c>
      <c r="K39" s="225">
        <v>4</v>
      </c>
      <c r="L39" s="221">
        <v>0</v>
      </c>
      <c r="M39" s="222">
        <v>0</v>
      </c>
      <c r="N39" s="222">
        <v>0</v>
      </c>
      <c r="O39" s="222">
        <v>0</v>
      </c>
      <c r="P39" s="222">
        <v>0</v>
      </c>
      <c r="Q39" s="219">
        <f t="shared" si="1"/>
        <v>0</v>
      </c>
      <c r="R39" s="222">
        <v>0</v>
      </c>
      <c r="S39" s="223">
        <v>0</v>
      </c>
      <c r="T39" s="224">
        <v>0</v>
      </c>
      <c r="U39" s="224">
        <v>1</v>
      </c>
      <c r="V39" s="224">
        <v>2</v>
      </c>
      <c r="W39" s="224">
        <v>0</v>
      </c>
      <c r="X39" s="219">
        <f t="shared" si="2"/>
        <v>3</v>
      </c>
      <c r="Y39" s="225">
        <v>4</v>
      </c>
      <c r="Z39" s="247" t="e">
        <f>VLOOKUP($D39,#REF!, Z$1-21, FALSE)*S39</f>
        <v>#REF!</v>
      </c>
      <c r="AA39" s="218" t="e">
        <f>VLOOKUP($D39,#REF!, AA$1-21, FALSE)*T39</f>
        <v>#REF!</v>
      </c>
      <c r="AB39" s="218" t="e">
        <f>VLOOKUP($D39,#REF!, AB$1-21, FALSE)*U39</f>
        <v>#REF!</v>
      </c>
      <c r="AC39" s="218" t="e">
        <f>VLOOKUP($D39,#REF!, AC$1-21, FALSE)*V39</f>
        <v>#REF!</v>
      </c>
      <c r="AD39" s="218" t="e">
        <f>VLOOKUP($D39,#REF!, AD$1-21, FALSE)*W39</f>
        <v>#REF!</v>
      </c>
      <c r="AE39" s="219" t="e">
        <f t="shared" si="7"/>
        <v>#REF!</v>
      </c>
      <c r="AF39" s="248" t="e">
        <f>VLOOKUP($D39,#REF!, AF$1-22, FALSE)*Y39</f>
        <v>#REF!</v>
      </c>
      <c r="AG39" s="223" t="e">
        <f t="shared" si="3"/>
        <v>#REF!</v>
      </c>
      <c r="AH39" s="224" t="e">
        <f t="shared" si="4"/>
        <v>#REF!</v>
      </c>
      <c r="AI39" s="225" t="e">
        <f t="shared" si="5"/>
        <v>#REF!</v>
      </c>
      <c r="AJ39" s="137">
        <v>333226</v>
      </c>
      <c r="AK39" s="150" t="e">
        <f t="shared" si="6"/>
        <v>#REF!</v>
      </c>
      <c r="AL39" s="111" t="e">
        <f>VLOOKUP($D39,#REF!,9,FALSE)-AG39</f>
        <v>#REF!</v>
      </c>
      <c r="AM39" s="111" t="e">
        <f>VLOOKUP($D39,#REF!,10,FALSE)-AH39</f>
        <v>#REF!</v>
      </c>
    </row>
    <row r="40" spans="1:39" x14ac:dyDescent="0.3">
      <c r="A40" s="102">
        <v>37</v>
      </c>
      <c r="B40" s="103" t="s">
        <v>391</v>
      </c>
      <c r="C40" s="93" t="s">
        <v>112</v>
      </c>
      <c r="D40" s="94" t="s">
        <v>113</v>
      </c>
      <c r="E40" s="223">
        <v>0</v>
      </c>
      <c r="F40" s="224">
        <v>0</v>
      </c>
      <c r="G40" s="224">
        <v>1</v>
      </c>
      <c r="H40" s="224">
        <v>1</v>
      </c>
      <c r="I40" s="224">
        <v>0</v>
      </c>
      <c r="J40" s="219">
        <f t="shared" si="0"/>
        <v>2</v>
      </c>
      <c r="K40" s="225">
        <v>3</v>
      </c>
      <c r="L40" s="221">
        <v>0</v>
      </c>
      <c r="M40" s="222">
        <v>0</v>
      </c>
      <c r="N40" s="222">
        <v>0</v>
      </c>
      <c r="O40" s="222">
        <v>0</v>
      </c>
      <c r="P40" s="222">
        <v>0</v>
      </c>
      <c r="Q40" s="219">
        <f t="shared" si="1"/>
        <v>0</v>
      </c>
      <c r="R40" s="222">
        <v>-2</v>
      </c>
      <c r="S40" s="223">
        <v>0</v>
      </c>
      <c r="T40" s="224">
        <v>0</v>
      </c>
      <c r="U40" s="224">
        <v>1</v>
      </c>
      <c r="V40" s="224">
        <v>1</v>
      </c>
      <c r="W40" s="224">
        <v>0</v>
      </c>
      <c r="X40" s="219">
        <f t="shared" si="2"/>
        <v>2</v>
      </c>
      <c r="Y40" s="225">
        <v>1</v>
      </c>
      <c r="Z40" s="247" t="e">
        <f>VLOOKUP($D40,#REF!, Z$1-21, FALSE)*S40</f>
        <v>#REF!</v>
      </c>
      <c r="AA40" s="218" t="e">
        <f>VLOOKUP($D40,#REF!, AA$1-21, FALSE)*T40</f>
        <v>#REF!</v>
      </c>
      <c r="AB40" s="218" t="e">
        <f>VLOOKUP($D40,#REF!, AB$1-21, FALSE)*U40</f>
        <v>#REF!</v>
      </c>
      <c r="AC40" s="218" t="e">
        <f>VLOOKUP($D40,#REF!, AC$1-21, FALSE)*V40</f>
        <v>#REF!</v>
      </c>
      <c r="AD40" s="218" t="e">
        <f>VLOOKUP($D40,#REF!, AD$1-21, FALSE)*W40</f>
        <v>#REF!</v>
      </c>
      <c r="AE40" s="219" t="e">
        <f t="shared" si="7"/>
        <v>#REF!</v>
      </c>
      <c r="AF40" s="248" t="e">
        <f>VLOOKUP($D40,#REF!, AF$1-22, FALSE)*Y40</f>
        <v>#REF!</v>
      </c>
      <c r="AG40" s="223" t="e">
        <f t="shared" si="3"/>
        <v>#REF!</v>
      </c>
      <c r="AH40" s="224" t="e">
        <f t="shared" si="4"/>
        <v>#REF!</v>
      </c>
      <c r="AI40" s="225" t="e">
        <f t="shared" si="5"/>
        <v>#REF!</v>
      </c>
      <c r="AJ40" s="137">
        <v>231497</v>
      </c>
      <c r="AK40" s="150" t="e">
        <f t="shared" si="6"/>
        <v>#REF!</v>
      </c>
      <c r="AL40" s="111" t="e">
        <f>VLOOKUP($D40,#REF!,9,FALSE)-AG40</f>
        <v>#REF!</v>
      </c>
      <c r="AM40" s="111" t="e">
        <f>VLOOKUP($D40,#REF!,10,FALSE)-AH40</f>
        <v>#REF!</v>
      </c>
    </row>
    <row r="41" spans="1:39" x14ac:dyDescent="0.3">
      <c r="A41" s="102">
        <v>38</v>
      </c>
      <c r="B41" s="103" t="s">
        <v>114</v>
      </c>
      <c r="C41" s="93" t="s">
        <v>115</v>
      </c>
      <c r="D41" s="94" t="s">
        <v>116</v>
      </c>
      <c r="E41" s="223">
        <v>0</v>
      </c>
      <c r="F41" s="224">
        <v>0</v>
      </c>
      <c r="G41" s="224">
        <v>1</v>
      </c>
      <c r="H41" s="224">
        <v>0</v>
      </c>
      <c r="I41" s="224">
        <v>0</v>
      </c>
      <c r="J41" s="219">
        <f t="shared" si="0"/>
        <v>1</v>
      </c>
      <c r="K41" s="225">
        <v>2</v>
      </c>
      <c r="L41" s="221">
        <v>0</v>
      </c>
      <c r="M41" s="222">
        <v>0</v>
      </c>
      <c r="N41" s="222">
        <v>0</v>
      </c>
      <c r="O41" s="222">
        <v>0</v>
      </c>
      <c r="P41" s="222">
        <v>0</v>
      </c>
      <c r="Q41" s="219">
        <f t="shared" si="1"/>
        <v>0</v>
      </c>
      <c r="R41" s="222">
        <v>0</v>
      </c>
      <c r="S41" s="223">
        <v>0</v>
      </c>
      <c r="T41" s="224">
        <v>0</v>
      </c>
      <c r="U41" s="224">
        <v>1</v>
      </c>
      <c r="V41" s="224">
        <v>0</v>
      </c>
      <c r="W41" s="224">
        <v>0</v>
      </c>
      <c r="X41" s="219">
        <f t="shared" si="2"/>
        <v>1</v>
      </c>
      <c r="Y41" s="225">
        <v>2</v>
      </c>
      <c r="Z41" s="247" t="e">
        <f>VLOOKUP($D41,#REF!, Z$1-21, FALSE)*S41</f>
        <v>#REF!</v>
      </c>
      <c r="AA41" s="218" t="e">
        <f>VLOOKUP($D41,#REF!, AA$1-21, FALSE)*T41</f>
        <v>#REF!</v>
      </c>
      <c r="AB41" s="218" t="e">
        <f>VLOOKUP($D41,#REF!, AB$1-21, FALSE)*U41</f>
        <v>#REF!</v>
      </c>
      <c r="AC41" s="218" t="e">
        <f>VLOOKUP($D41,#REF!, AC$1-21, FALSE)*V41</f>
        <v>#REF!</v>
      </c>
      <c r="AD41" s="218" t="e">
        <f>VLOOKUP($D41,#REF!, AD$1-21, FALSE)*W41</f>
        <v>#REF!</v>
      </c>
      <c r="AE41" s="219" t="e">
        <f t="shared" si="7"/>
        <v>#REF!</v>
      </c>
      <c r="AF41" s="248" t="e">
        <f>VLOOKUP($D41,#REF!, AF$1-22, FALSE)*Y41</f>
        <v>#REF!</v>
      </c>
      <c r="AG41" s="223" t="e">
        <f t="shared" si="3"/>
        <v>#REF!</v>
      </c>
      <c r="AH41" s="224" t="e">
        <f t="shared" si="4"/>
        <v>#REF!</v>
      </c>
      <c r="AI41" s="225" t="e">
        <f t="shared" si="5"/>
        <v>#REF!</v>
      </c>
      <c r="AJ41" s="137">
        <v>183377</v>
      </c>
      <c r="AK41" s="150" t="e">
        <f t="shared" si="6"/>
        <v>#REF!</v>
      </c>
      <c r="AL41" s="111" t="e">
        <f>VLOOKUP($D41,#REF!,9,FALSE)-AG41</f>
        <v>#REF!</v>
      </c>
      <c r="AM41" s="111" t="e">
        <f>VLOOKUP($D41,#REF!,10,FALSE)-AH41</f>
        <v>#REF!</v>
      </c>
    </row>
    <row r="42" spans="1:39" x14ac:dyDescent="0.3">
      <c r="A42" s="102">
        <v>39</v>
      </c>
      <c r="B42" s="103" t="s">
        <v>372</v>
      </c>
      <c r="C42" s="93" t="s">
        <v>117</v>
      </c>
      <c r="D42" s="94" t="s">
        <v>118</v>
      </c>
      <c r="E42" s="223">
        <v>0</v>
      </c>
      <c r="F42" s="224">
        <v>0</v>
      </c>
      <c r="G42" s="224">
        <v>1</v>
      </c>
      <c r="H42" s="224">
        <v>0</v>
      </c>
      <c r="I42" s="224">
        <v>0</v>
      </c>
      <c r="J42" s="219">
        <f t="shared" si="0"/>
        <v>1</v>
      </c>
      <c r="K42" s="225">
        <v>2</v>
      </c>
      <c r="L42" s="221">
        <v>0</v>
      </c>
      <c r="M42" s="222">
        <v>0</v>
      </c>
      <c r="N42" s="222">
        <v>-1</v>
      </c>
      <c r="O42" s="222">
        <v>0</v>
      </c>
      <c r="P42" s="222">
        <v>0</v>
      </c>
      <c r="Q42" s="219">
        <f t="shared" si="1"/>
        <v>-1</v>
      </c>
      <c r="R42" s="222">
        <v>-1</v>
      </c>
      <c r="S42" s="223">
        <v>0</v>
      </c>
      <c r="T42" s="224">
        <v>0</v>
      </c>
      <c r="U42" s="224">
        <v>0</v>
      </c>
      <c r="V42" s="224">
        <v>0</v>
      </c>
      <c r="W42" s="224">
        <v>0</v>
      </c>
      <c r="X42" s="219">
        <f t="shared" si="2"/>
        <v>0</v>
      </c>
      <c r="Y42" s="225">
        <v>1</v>
      </c>
      <c r="Z42" s="247" t="e">
        <f>VLOOKUP($D42,#REF!, Z$1-21, FALSE)*S42</f>
        <v>#REF!</v>
      </c>
      <c r="AA42" s="218" t="e">
        <f>VLOOKUP($D42,#REF!, AA$1-21, FALSE)*T42</f>
        <v>#REF!</v>
      </c>
      <c r="AB42" s="218" t="e">
        <f>VLOOKUP($D42,#REF!, AB$1-21, FALSE)*U42</f>
        <v>#REF!</v>
      </c>
      <c r="AC42" s="218" t="e">
        <f>VLOOKUP($D42,#REF!, AC$1-21, FALSE)*V42</f>
        <v>#REF!</v>
      </c>
      <c r="AD42" s="218" t="e">
        <f>VLOOKUP($D42,#REF!, AD$1-21, FALSE)*W42</f>
        <v>#REF!</v>
      </c>
      <c r="AE42" s="219" t="e">
        <f t="shared" si="7"/>
        <v>#REF!</v>
      </c>
      <c r="AF42" s="248" t="e">
        <f>VLOOKUP($D42,#REF!, AF$1-22, FALSE)*Y42</f>
        <v>#REF!</v>
      </c>
      <c r="AG42" s="223" t="e">
        <f t="shared" si="3"/>
        <v>#REF!</v>
      </c>
      <c r="AH42" s="224" t="e">
        <f t="shared" si="4"/>
        <v>#REF!</v>
      </c>
      <c r="AI42" s="225" t="e">
        <f t="shared" si="5"/>
        <v>#REF!</v>
      </c>
      <c r="AJ42" s="137">
        <v>465800</v>
      </c>
      <c r="AK42" s="150" t="e">
        <f t="shared" si="6"/>
        <v>#REF!</v>
      </c>
      <c r="AL42" s="111" t="e">
        <f>VLOOKUP($D42,#REF!,9,FALSE)-AG42</f>
        <v>#REF!</v>
      </c>
      <c r="AM42" s="111" t="e">
        <f>VLOOKUP($D42,#REF!,10,FALSE)-AH42</f>
        <v>#REF!</v>
      </c>
    </row>
    <row r="43" spans="1:39" x14ac:dyDescent="0.3">
      <c r="A43" s="102">
        <v>40</v>
      </c>
      <c r="B43" s="103" t="s">
        <v>119</v>
      </c>
      <c r="C43" s="93" t="s">
        <v>120</v>
      </c>
      <c r="D43" s="94" t="s">
        <v>121</v>
      </c>
      <c r="E43" s="223">
        <v>0</v>
      </c>
      <c r="F43" s="224">
        <v>0</v>
      </c>
      <c r="G43" s="224">
        <v>1</v>
      </c>
      <c r="H43" s="224">
        <v>1</v>
      </c>
      <c r="I43" s="224">
        <v>0</v>
      </c>
      <c r="J43" s="219">
        <f t="shared" si="0"/>
        <v>2</v>
      </c>
      <c r="K43" s="225">
        <v>3</v>
      </c>
      <c r="L43" s="221">
        <v>0</v>
      </c>
      <c r="M43" s="222">
        <v>0</v>
      </c>
      <c r="N43" s="222">
        <v>0</v>
      </c>
      <c r="O43" s="222">
        <v>0</v>
      </c>
      <c r="P43" s="222">
        <v>0</v>
      </c>
      <c r="Q43" s="219">
        <f t="shared" si="1"/>
        <v>0</v>
      </c>
      <c r="R43" s="222">
        <v>0</v>
      </c>
      <c r="S43" s="223">
        <v>0</v>
      </c>
      <c r="T43" s="224">
        <v>0</v>
      </c>
      <c r="U43" s="224">
        <v>1</v>
      </c>
      <c r="V43" s="224">
        <v>1</v>
      </c>
      <c r="W43" s="224">
        <v>0</v>
      </c>
      <c r="X43" s="219">
        <f t="shared" si="2"/>
        <v>2</v>
      </c>
      <c r="Y43" s="225">
        <v>3</v>
      </c>
      <c r="Z43" s="247" t="e">
        <f>VLOOKUP($D43,#REF!, Z$1-21, FALSE)*S43</f>
        <v>#REF!</v>
      </c>
      <c r="AA43" s="218" t="e">
        <f>VLOOKUP($D43,#REF!, AA$1-21, FALSE)*T43</f>
        <v>#REF!</v>
      </c>
      <c r="AB43" s="218" t="e">
        <f>VLOOKUP($D43,#REF!, AB$1-21, FALSE)*U43</f>
        <v>#REF!</v>
      </c>
      <c r="AC43" s="218" t="e">
        <f>VLOOKUP($D43,#REF!, AC$1-21, FALSE)*V43</f>
        <v>#REF!</v>
      </c>
      <c r="AD43" s="218" t="e">
        <f>VLOOKUP($D43,#REF!, AD$1-21, FALSE)*W43</f>
        <v>#REF!</v>
      </c>
      <c r="AE43" s="219" t="e">
        <f t="shared" si="7"/>
        <v>#REF!</v>
      </c>
      <c r="AF43" s="248" t="e">
        <f>VLOOKUP($D43,#REF!, AF$1-22, FALSE)*Y43</f>
        <v>#REF!</v>
      </c>
      <c r="AG43" s="223" t="e">
        <f t="shared" si="3"/>
        <v>#REF!</v>
      </c>
      <c r="AH43" s="224" t="e">
        <f t="shared" si="4"/>
        <v>#REF!</v>
      </c>
      <c r="AI43" s="225" t="e">
        <f t="shared" si="5"/>
        <v>#REF!</v>
      </c>
      <c r="AJ43" s="137">
        <v>210886</v>
      </c>
      <c r="AK43" s="150" t="e">
        <f t="shared" si="6"/>
        <v>#REF!</v>
      </c>
      <c r="AL43" s="111" t="e">
        <f>VLOOKUP($D43,#REF!,9,FALSE)-AG43</f>
        <v>#REF!</v>
      </c>
      <c r="AM43" s="111" t="e">
        <f>VLOOKUP($D43,#REF!,10,FALSE)-AH43</f>
        <v>#REF!</v>
      </c>
    </row>
    <row r="44" spans="1:39" x14ac:dyDescent="0.3">
      <c r="A44" s="102">
        <v>41</v>
      </c>
      <c r="B44" s="103" t="s">
        <v>122</v>
      </c>
      <c r="C44" s="93" t="s">
        <v>317</v>
      </c>
      <c r="D44" s="94" t="s">
        <v>123</v>
      </c>
      <c r="E44" s="223">
        <v>0</v>
      </c>
      <c r="F44" s="224">
        <v>0</v>
      </c>
      <c r="G44" s="224">
        <v>1</v>
      </c>
      <c r="H44" s="224">
        <v>0</v>
      </c>
      <c r="I44" s="224">
        <v>0</v>
      </c>
      <c r="J44" s="219">
        <f t="shared" si="0"/>
        <v>1</v>
      </c>
      <c r="K44" s="225">
        <v>2</v>
      </c>
      <c r="L44" s="221">
        <v>0</v>
      </c>
      <c r="M44" s="222">
        <v>0</v>
      </c>
      <c r="N44" s="222">
        <v>0</v>
      </c>
      <c r="O44" s="222">
        <v>0</v>
      </c>
      <c r="P44" s="222">
        <v>0</v>
      </c>
      <c r="Q44" s="219">
        <f t="shared" si="1"/>
        <v>0</v>
      </c>
      <c r="R44" s="222">
        <v>0</v>
      </c>
      <c r="S44" s="223">
        <v>0</v>
      </c>
      <c r="T44" s="224">
        <v>0</v>
      </c>
      <c r="U44" s="224">
        <v>1</v>
      </c>
      <c r="V44" s="224">
        <v>0</v>
      </c>
      <c r="W44" s="224">
        <v>0</v>
      </c>
      <c r="X44" s="219">
        <f t="shared" si="2"/>
        <v>1</v>
      </c>
      <c r="Y44" s="225">
        <v>2</v>
      </c>
      <c r="Z44" s="247" t="e">
        <f>VLOOKUP($D44,#REF!, Z$1-21, FALSE)*S44</f>
        <v>#REF!</v>
      </c>
      <c r="AA44" s="218" t="e">
        <f>VLOOKUP($D44,#REF!, AA$1-21, FALSE)*T44</f>
        <v>#REF!</v>
      </c>
      <c r="AB44" s="218" t="e">
        <f>VLOOKUP($D44,#REF!, AB$1-21, FALSE)*U44</f>
        <v>#REF!</v>
      </c>
      <c r="AC44" s="218" t="e">
        <f>VLOOKUP($D44,#REF!, AC$1-21, FALSE)*V44</f>
        <v>#REF!</v>
      </c>
      <c r="AD44" s="218" t="e">
        <f>VLOOKUP($D44,#REF!, AD$1-21, FALSE)*W44</f>
        <v>#REF!</v>
      </c>
      <c r="AE44" s="219" t="e">
        <f t="shared" si="7"/>
        <v>#REF!</v>
      </c>
      <c r="AF44" s="248" t="e">
        <f>VLOOKUP($D44,#REF!, AF$1-22, FALSE)*Y44</f>
        <v>#REF!</v>
      </c>
      <c r="AG44" s="223" t="e">
        <f t="shared" si="3"/>
        <v>#REF!</v>
      </c>
      <c r="AH44" s="224" t="e">
        <f t="shared" si="4"/>
        <v>#REF!</v>
      </c>
      <c r="AI44" s="225" t="e">
        <f t="shared" si="5"/>
        <v>#REF!</v>
      </c>
      <c r="AJ44" s="137">
        <v>467675</v>
      </c>
      <c r="AK44" s="150" t="e">
        <f t="shared" si="6"/>
        <v>#REF!</v>
      </c>
      <c r="AL44" s="111" t="e">
        <f>VLOOKUP($D44,#REF!,9,FALSE)-AG44</f>
        <v>#REF!</v>
      </c>
      <c r="AM44" s="111" t="e">
        <f>VLOOKUP($D44,#REF!,10,FALSE)-AH44</f>
        <v>#REF!</v>
      </c>
    </row>
    <row r="45" spans="1:39" x14ac:dyDescent="0.3">
      <c r="A45" s="102">
        <v>42</v>
      </c>
      <c r="B45" s="103" t="s">
        <v>411</v>
      </c>
      <c r="C45" s="93" t="s">
        <v>124</v>
      </c>
      <c r="D45" s="94" t="s">
        <v>125</v>
      </c>
      <c r="E45" s="223">
        <v>0</v>
      </c>
      <c r="F45" s="224">
        <v>0</v>
      </c>
      <c r="G45" s="224">
        <v>1</v>
      </c>
      <c r="H45" s="224">
        <v>1</v>
      </c>
      <c r="I45" s="224">
        <v>0</v>
      </c>
      <c r="J45" s="219">
        <f t="shared" si="0"/>
        <v>2</v>
      </c>
      <c r="K45" s="225">
        <v>3</v>
      </c>
      <c r="L45" s="221">
        <v>0</v>
      </c>
      <c r="M45" s="222">
        <v>0</v>
      </c>
      <c r="N45" s="222">
        <v>0</v>
      </c>
      <c r="O45" s="222">
        <v>0</v>
      </c>
      <c r="P45" s="222">
        <v>0</v>
      </c>
      <c r="Q45" s="219">
        <f t="shared" si="1"/>
        <v>0</v>
      </c>
      <c r="R45" s="222">
        <v>0</v>
      </c>
      <c r="S45" s="223">
        <v>0</v>
      </c>
      <c r="T45" s="224">
        <v>0</v>
      </c>
      <c r="U45" s="224">
        <v>1</v>
      </c>
      <c r="V45" s="224">
        <v>1</v>
      </c>
      <c r="W45" s="224">
        <v>0</v>
      </c>
      <c r="X45" s="219">
        <f t="shared" si="2"/>
        <v>2</v>
      </c>
      <c r="Y45" s="225">
        <v>3</v>
      </c>
      <c r="Z45" s="247" t="e">
        <f>VLOOKUP($D45,#REF!, Z$1-21, FALSE)*S45</f>
        <v>#REF!</v>
      </c>
      <c r="AA45" s="218" t="e">
        <f>VLOOKUP($D45,#REF!, AA$1-21, FALSE)*T45</f>
        <v>#REF!</v>
      </c>
      <c r="AB45" s="218" t="e">
        <f>VLOOKUP($D45,#REF!, AB$1-21, FALSE)*U45</f>
        <v>#REF!</v>
      </c>
      <c r="AC45" s="218" t="e">
        <f>VLOOKUP($D45,#REF!, AC$1-21, FALSE)*V45</f>
        <v>#REF!</v>
      </c>
      <c r="AD45" s="218" t="e">
        <f>VLOOKUP($D45,#REF!, AD$1-21, FALSE)*W45</f>
        <v>#REF!</v>
      </c>
      <c r="AE45" s="219" t="e">
        <f t="shared" si="7"/>
        <v>#REF!</v>
      </c>
      <c r="AF45" s="248" t="e">
        <f>VLOOKUP($D45,#REF!, AF$1-22, FALSE)*Y45</f>
        <v>#REF!</v>
      </c>
      <c r="AG45" s="223" t="e">
        <f t="shared" si="3"/>
        <v>#REF!</v>
      </c>
      <c r="AH45" s="224" t="e">
        <f t="shared" si="4"/>
        <v>#REF!</v>
      </c>
      <c r="AI45" s="225" t="e">
        <f t="shared" si="5"/>
        <v>#REF!</v>
      </c>
      <c r="AJ45" s="137">
        <v>549045</v>
      </c>
      <c r="AK45" s="150" t="e">
        <f t="shared" si="6"/>
        <v>#REF!</v>
      </c>
      <c r="AL45" s="111" t="e">
        <f>VLOOKUP($D45,#REF!,9,FALSE)-AG45</f>
        <v>#REF!</v>
      </c>
      <c r="AM45" s="111" t="e">
        <f>VLOOKUP($D45,#REF!,10,FALSE)-AH45</f>
        <v>#REF!</v>
      </c>
    </row>
    <row r="46" spans="1:39" x14ac:dyDescent="0.3">
      <c r="A46" s="102">
        <v>43</v>
      </c>
      <c r="B46" s="103" t="s">
        <v>373</v>
      </c>
      <c r="C46" s="93" t="s">
        <v>126</v>
      </c>
      <c r="D46" s="94" t="s">
        <v>127</v>
      </c>
      <c r="E46" s="223">
        <v>0</v>
      </c>
      <c r="F46" s="224">
        <v>0</v>
      </c>
      <c r="G46" s="224">
        <v>1</v>
      </c>
      <c r="H46" s="224">
        <v>1</v>
      </c>
      <c r="I46" s="224">
        <v>0</v>
      </c>
      <c r="J46" s="219">
        <f t="shared" si="0"/>
        <v>2</v>
      </c>
      <c r="K46" s="225">
        <v>3</v>
      </c>
      <c r="L46" s="221">
        <v>0</v>
      </c>
      <c r="M46" s="222">
        <v>0</v>
      </c>
      <c r="N46" s="222">
        <v>0</v>
      </c>
      <c r="O46" s="222">
        <v>-1</v>
      </c>
      <c r="P46" s="222">
        <v>0</v>
      </c>
      <c r="Q46" s="219">
        <f t="shared" si="1"/>
        <v>-1</v>
      </c>
      <c r="R46" s="222">
        <v>-1</v>
      </c>
      <c r="S46" s="223">
        <v>0</v>
      </c>
      <c r="T46" s="224">
        <v>0</v>
      </c>
      <c r="U46" s="224">
        <v>1</v>
      </c>
      <c r="V46" s="224">
        <v>0</v>
      </c>
      <c r="W46" s="224">
        <v>0</v>
      </c>
      <c r="X46" s="219">
        <f t="shared" si="2"/>
        <v>1</v>
      </c>
      <c r="Y46" s="225">
        <v>2</v>
      </c>
      <c r="Z46" s="247" t="e">
        <f>VLOOKUP($D46,#REF!, Z$1-21, FALSE)*S46</f>
        <v>#REF!</v>
      </c>
      <c r="AA46" s="218" t="e">
        <f>VLOOKUP($D46,#REF!, AA$1-21, FALSE)*T46</f>
        <v>#REF!</v>
      </c>
      <c r="AB46" s="218" t="e">
        <f>VLOOKUP($D46,#REF!, AB$1-21, FALSE)*U46</f>
        <v>#REF!</v>
      </c>
      <c r="AC46" s="218" t="e">
        <f>VLOOKUP($D46,#REF!, AC$1-21, FALSE)*V46</f>
        <v>#REF!</v>
      </c>
      <c r="AD46" s="218" t="e">
        <f>VLOOKUP($D46,#REF!, AD$1-21, FALSE)*W46</f>
        <v>#REF!</v>
      </c>
      <c r="AE46" s="219" t="e">
        <f t="shared" si="7"/>
        <v>#REF!</v>
      </c>
      <c r="AF46" s="248" t="e">
        <f>VLOOKUP($D46,#REF!, AF$1-22, FALSE)*Y46</f>
        <v>#REF!</v>
      </c>
      <c r="AG46" s="223" t="e">
        <f t="shared" si="3"/>
        <v>#REF!</v>
      </c>
      <c r="AH46" s="224" t="e">
        <f t="shared" si="4"/>
        <v>#REF!</v>
      </c>
      <c r="AI46" s="225" t="e">
        <f t="shared" si="5"/>
        <v>#REF!</v>
      </c>
      <c r="AJ46" s="137">
        <v>297288.40000000002</v>
      </c>
      <c r="AK46" s="150" t="e">
        <f t="shared" si="6"/>
        <v>#REF!</v>
      </c>
      <c r="AL46" s="111" t="e">
        <f>VLOOKUP($D46,#REF!,9,FALSE)-AG46</f>
        <v>#REF!</v>
      </c>
      <c r="AM46" s="111" t="e">
        <f>VLOOKUP($D46,#REF!,10,FALSE)-AH46</f>
        <v>#REF!</v>
      </c>
    </row>
    <row r="47" spans="1:39" x14ac:dyDescent="0.3">
      <c r="A47" s="102">
        <v>44</v>
      </c>
      <c r="B47" s="103" t="s">
        <v>374</v>
      </c>
      <c r="C47" s="93" t="s">
        <v>128</v>
      </c>
      <c r="D47" s="94" t="s">
        <v>129</v>
      </c>
      <c r="E47" s="223">
        <v>0</v>
      </c>
      <c r="F47" s="224">
        <v>0</v>
      </c>
      <c r="G47" s="224">
        <v>1</v>
      </c>
      <c r="H47" s="224">
        <v>0</v>
      </c>
      <c r="I47" s="224">
        <v>0</v>
      </c>
      <c r="J47" s="219">
        <f t="shared" si="0"/>
        <v>1</v>
      </c>
      <c r="K47" s="225">
        <v>2</v>
      </c>
      <c r="L47" s="221">
        <v>0</v>
      </c>
      <c r="M47" s="222">
        <v>0</v>
      </c>
      <c r="N47" s="222">
        <v>0</v>
      </c>
      <c r="O47" s="222">
        <v>0</v>
      </c>
      <c r="P47" s="222">
        <v>0</v>
      </c>
      <c r="Q47" s="219">
        <f t="shared" si="1"/>
        <v>0</v>
      </c>
      <c r="R47" s="222">
        <v>0</v>
      </c>
      <c r="S47" s="223">
        <v>0</v>
      </c>
      <c r="T47" s="224">
        <v>0</v>
      </c>
      <c r="U47" s="224">
        <v>1</v>
      </c>
      <c r="V47" s="224">
        <v>0</v>
      </c>
      <c r="W47" s="224">
        <v>0</v>
      </c>
      <c r="X47" s="219">
        <f t="shared" si="2"/>
        <v>1</v>
      </c>
      <c r="Y47" s="225">
        <v>2</v>
      </c>
      <c r="Z47" s="247" t="e">
        <f>VLOOKUP($D47,#REF!, Z$1-21, FALSE)*S47</f>
        <v>#REF!</v>
      </c>
      <c r="AA47" s="218" t="e">
        <f>VLOOKUP($D47,#REF!, AA$1-21, FALSE)*T47</f>
        <v>#REF!</v>
      </c>
      <c r="AB47" s="218" t="e">
        <f>VLOOKUP($D47,#REF!, AB$1-21, FALSE)*U47</f>
        <v>#REF!</v>
      </c>
      <c r="AC47" s="218" t="e">
        <f>VLOOKUP($D47,#REF!, AC$1-21, FALSE)*V47</f>
        <v>#REF!</v>
      </c>
      <c r="AD47" s="218" t="e">
        <f>VLOOKUP($D47,#REF!, AD$1-21, FALSE)*W47</f>
        <v>#REF!</v>
      </c>
      <c r="AE47" s="219" t="e">
        <f t="shared" si="7"/>
        <v>#REF!</v>
      </c>
      <c r="AF47" s="248" t="e">
        <f>VLOOKUP($D47,#REF!, AF$1-22, FALSE)*Y47</f>
        <v>#REF!</v>
      </c>
      <c r="AG47" s="223" t="e">
        <f t="shared" si="3"/>
        <v>#REF!</v>
      </c>
      <c r="AH47" s="224" t="e">
        <f t="shared" si="4"/>
        <v>#REF!</v>
      </c>
      <c r="AI47" s="225" t="e">
        <f t="shared" si="5"/>
        <v>#REF!</v>
      </c>
      <c r="AJ47" s="137">
        <v>292041</v>
      </c>
      <c r="AK47" s="150" t="e">
        <f t="shared" si="6"/>
        <v>#REF!</v>
      </c>
      <c r="AL47" s="111" t="e">
        <f>VLOOKUP($D47,#REF!,9,FALSE)-AG47</f>
        <v>#REF!</v>
      </c>
      <c r="AM47" s="111" t="e">
        <f>VLOOKUP($D47,#REF!,10,FALSE)-AH47</f>
        <v>#REF!</v>
      </c>
    </row>
    <row r="48" spans="1:39" x14ac:dyDescent="0.3">
      <c r="A48" s="102">
        <v>45</v>
      </c>
      <c r="B48" s="103" t="s">
        <v>130</v>
      </c>
      <c r="C48" s="93" t="s">
        <v>131</v>
      </c>
      <c r="D48" s="94" t="s">
        <v>132</v>
      </c>
      <c r="E48" s="223">
        <v>0</v>
      </c>
      <c r="F48" s="224">
        <v>0</v>
      </c>
      <c r="G48" s="224">
        <v>1</v>
      </c>
      <c r="H48" s="224">
        <v>0</v>
      </c>
      <c r="I48" s="224">
        <v>0</v>
      </c>
      <c r="J48" s="219">
        <f t="shared" si="0"/>
        <v>1</v>
      </c>
      <c r="K48" s="225">
        <v>2</v>
      </c>
      <c r="L48" s="221">
        <v>0</v>
      </c>
      <c r="M48" s="222">
        <v>0</v>
      </c>
      <c r="N48" s="222">
        <v>0</v>
      </c>
      <c r="O48" s="222">
        <v>0</v>
      </c>
      <c r="P48" s="222">
        <v>0</v>
      </c>
      <c r="Q48" s="219">
        <f t="shared" si="1"/>
        <v>0</v>
      </c>
      <c r="R48" s="222">
        <v>0</v>
      </c>
      <c r="S48" s="223">
        <v>0</v>
      </c>
      <c r="T48" s="224">
        <v>0</v>
      </c>
      <c r="U48" s="224">
        <v>1</v>
      </c>
      <c r="V48" s="224">
        <v>0</v>
      </c>
      <c r="W48" s="224">
        <v>0</v>
      </c>
      <c r="X48" s="219">
        <f t="shared" si="2"/>
        <v>1</v>
      </c>
      <c r="Y48" s="225">
        <v>2</v>
      </c>
      <c r="Z48" s="247" t="e">
        <f>VLOOKUP($D48,#REF!, Z$1-21, FALSE)*S48</f>
        <v>#REF!</v>
      </c>
      <c r="AA48" s="218" t="e">
        <f>VLOOKUP($D48,#REF!, AA$1-21, FALSE)*T48</f>
        <v>#REF!</v>
      </c>
      <c r="AB48" s="218" t="e">
        <f>VLOOKUP($D48,#REF!, AB$1-21, FALSE)*U48</f>
        <v>#REF!</v>
      </c>
      <c r="AC48" s="218" t="e">
        <f>VLOOKUP($D48,#REF!, AC$1-21, FALSE)*V48</f>
        <v>#REF!</v>
      </c>
      <c r="AD48" s="218" t="e">
        <f>VLOOKUP($D48,#REF!, AD$1-21, FALSE)*W48</f>
        <v>#REF!</v>
      </c>
      <c r="AE48" s="219" t="e">
        <f t="shared" si="7"/>
        <v>#REF!</v>
      </c>
      <c r="AF48" s="248" t="e">
        <f>VLOOKUP($D48,#REF!, AF$1-22, FALSE)*Y48</f>
        <v>#REF!</v>
      </c>
      <c r="AG48" s="223" t="e">
        <f t="shared" si="3"/>
        <v>#REF!</v>
      </c>
      <c r="AH48" s="224" t="e">
        <f t="shared" si="4"/>
        <v>#REF!</v>
      </c>
      <c r="AI48" s="225" t="e">
        <f t="shared" si="5"/>
        <v>#REF!</v>
      </c>
      <c r="AJ48" s="137">
        <v>813873</v>
      </c>
      <c r="AK48" s="150" t="e">
        <f t="shared" si="6"/>
        <v>#REF!</v>
      </c>
      <c r="AL48" s="111" t="e">
        <f>VLOOKUP($D48,#REF!,9,FALSE)-AG48</f>
        <v>#REF!</v>
      </c>
      <c r="AM48" s="111" t="e">
        <f>VLOOKUP($D48,#REF!,10,FALSE)-AH48</f>
        <v>#REF!</v>
      </c>
    </row>
    <row r="49" spans="1:39" x14ac:dyDescent="0.3">
      <c r="A49" s="102">
        <v>46</v>
      </c>
      <c r="B49" s="103" t="s">
        <v>412</v>
      </c>
      <c r="C49" s="93" t="s">
        <v>133</v>
      </c>
      <c r="D49" s="94" t="s">
        <v>134</v>
      </c>
      <c r="E49" s="223">
        <v>0</v>
      </c>
      <c r="F49" s="224">
        <v>1</v>
      </c>
      <c r="G49" s="224">
        <v>1</v>
      </c>
      <c r="H49" s="224">
        <v>1</v>
      </c>
      <c r="I49" s="224">
        <v>0</v>
      </c>
      <c r="J49" s="219">
        <f t="shared" si="0"/>
        <v>3</v>
      </c>
      <c r="K49" s="225">
        <v>4</v>
      </c>
      <c r="L49" s="221">
        <v>0</v>
      </c>
      <c r="M49" s="222">
        <v>0</v>
      </c>
      <c r="N49" s="222">
        <v>0</v>
      </c>
      <c r="O49" s="222">
        <v>0</v>
      </c>
      <c r="P49" s="222">
        <v>0</v>
      </c>
      <c r="Q49" s="219">
        <f t="shared" si="1"/>
        <v>0</v>
      </c>
      <c r="R49" s="222">
        <v>0</v>
      </c>
      <c r="S49" s="223">
        <v>0</v>
      </c>
      <c r="T49" s="224">
        <v>1</v>
      </c>
      <c r="U49" s="224">
        <v>1</v>
      </c>
      <c r="V49" s="224">
        <v>1</v>
      </c>
      <c r="W49" s="224">
        <v>0</v>
      </c>
      <c r="X49" s="219">
        <f t="shared" si="2"/>
        <v>3</v>
      </c>
      <c r="Y49" s="225">
        <v>4</v>
      </c>
      <c r="Z49" s="247" t="e">
        <f>VLOOKUP($D49,#REF!, Z$1-21, FALSE)*S49</f>
        <v>#REF!</v>
      </c>
      <c r="AA49" s="218" t="e">
        <f>VLOOKUP($D49,#REF!, AA$1-21, FALSE)*T49</f>
        <v>#REF!</v>
      </c>
      <c r="AB49" s="218" t="e">
        <f>VLOOKUP($D49,#REF!, AB$1-21, FALSE)*U49</f>
        <v>#REF!</v>
      </c>
      <c r="AC49" s="218" t="e">
        <f>VLOOKUP($D49,#REF!, AC$1-21, FALSE)*V49</f>
        <v>#REF!</v>
      </c>
      <c r="AD49" s="218" t="e">
        <f>VLOOKUP($D49,#REF!, AD$1-21, FALSE)*W49</f>
        <v>#REF!</v>
      </c>
      <c r="AE49" s="219" t="e">
        <f t="shared" si="7"/>
        <v>#REF!</v>
      </c>
      <c r="AF49" s="248" t="e">
        <f>VLOOKUP($D49,#REF!, AF$1-22, FALSE)*Y49</f>
        <v>#REF!</v>
      </c>
      <c r="AG49" s="223" t="e">
        <f t="shared" si="3"/>
        <v>#REF!</v>
      </c>
      <c r="AH49" s="224" t="e">
        <f t="shared" si="4"/>
        <v>#REF!</v>
      </c>
      <c r="AI49" s="225" t="e">
        <f t="shared" si="5"/>
        <v>#REF!</v>
      </c>
      <c r="AJ49" s="137">
        <v>246386</v>
      </c>
      <c r="AK49" s="150" t="e">
        <f t="shared" si="6"/>
        <v>#REF!</v>
      </c>
      <c r="AL49" s="111" t="e">
        <f>VLOOKUP($D49,#REF!,9,FALSE)-AG49</f>
        <v>#REF!</v>
      </c>
      <c r="AM49" s="111" t="e">
        <f>VLOOKUP($D49,#REF!,10,FALSE)-AH49</f>
        <v>#REF!</v>
      </c>
    </row>
    <row r="50" spans="1:39" x14ac:dyDescent="0.3">
      <c r="A50" s="102">
        <v>47</v>
      </c>
      <c r="B50" s="103" t="s">
        <v>413</v>
      </c>
      <c r="C50" s="93" t="s">
        <v>135</v>
      </c>
      <c r="D50" s="94" t="s">
        <v>136</v>
      </c>
      <c r="E50" s="223">
        <v>0</v>
      </c>
      <c r="F50" s="224">
        <v>0</v>
      </c>
      <c r="G50" s="224">
        <v>1</v>
      </c>
      <c r="H50" s="224">
        <v>0</v>
      </c>
      <c r="I50" s="224">
        <v>0</v>
      </c>
      <c r="J50" s="219">
        <f t="shared" si="0"/>
        <v>1</v>
      </c>
      <c r="K50" s="225">
        <v>2</v>
      </c>
      <c r="L50" s="221">
        <v>0</v>
      </c>
      <c r="M50" s="222">
        <v>0</v>
      </c>
      <c r="N50" s="222">
        <v>0</v>
      </c>
      <c r="O50" s="222">
        <v>0</v>
      </c>
      <c r="P50" s="222">
        <v>0</v>
      </c>
      <c r="Q50" s="219">
        <f t="shared" si="1"/>
        <v>0</v>
      </c>
      <c r="R50" s="222">
        <v>0</v>
      </c>
      <c r="S50" s="223">
        <v>0</v>
      </c>
      <c r="T50" s="224">
        <v>0</v>
      </c>
      <c r="U50" s="224">
        <v>1</v>
      </c>
      <c r="V50" s="224">
        <v>0</v>
      </c>
      <c r="W50" s="224">
        <v>0</v>
      </c>
      <c r="X50" s="219">
        <f t="shared" si="2"/>
        <v>1</v>
      </c>
      <c r="Y50" s="225">
        <v>2</v>
      </c>
      <c r="Z50" s="247" t="e">
        <f>VLOOKUP($D50,#REF!, Z$1-21, FALSE)*S50</f>
        <v>#REF!</v>
      </c>
      <c r="AA50" s="218" t="e">
        <f>VLOOKUP($D50,#REF!, AA$1-21, FALSE)*T50</f>
        <v>#REF!</v>
      </c>
      <c r="AB50" s="218" t="e">
        <f>VLOOKUP($D50,#REF!, AB$1-21, FALSE)*U50</f>
        <v>#REF!</v>
      </c>
      <c r="AC50" s="218" t="e">
        <f>VLOOKUP($D50,#REF!, AC$1-21, FALSE)*V50</f>
        <v>#REF!</v>
      </c>
      <c r="AD50" s="218" t="e">
        <f>VLOOKUP($D50,#REF!, AD$1-21, FALSE)*W50</f>
        <v>#REF!</v>
      </c>
      <c r="AE50" s="219" t="e">
        <f t="shared" si="7"/>
        <v>#REF!</v>
      </c>
      <c r="AF50" s="248" t="e">
        <f>VLOOKUP($D50,#REF!, AF$1-22, FALSE)*Y50</f>
        <v>#REF!</v>
      </c>
      <c r="AG50" s="223" t="e">
        <f t="shared" si="3"/>
        <v>#REF!</v>
      </c>
      <c r="AH50" s="224" t="e">
        <f t="shared" si="4"/>
        <v>#REF!</v>
      </c>
      <c r="AI50" s="225" t="e">
        <f t="shared" si="5"/>
        <v>#REF!</v>
      </c>
      <c r="AJ50" s="137">
        <v>681784</v>
      </c>
      <c r="AK50" s="150" t="e">
        <f t="shared" si="6"/>
        <v>#REF!</v>
      </c>
      <c r="AL50" s="111" t="e">
        <f>VLOOKUP($D50,#REF!,9,FALSE)-AG50</f>
        <v>#REF!</v>
      </c>
      <c r="AM50" s="111" t="e">
        <f>VLOOKUP($D50,#REF!,10,FALSE)-AH50</f>
        <v>#REF!</v>
      </c>
    </row>
    <row r="51" spans="1:39" x14ac:dyDescent="0.3">
      <c r="A51" s="102">
        <v>48</v>
      </c>
      <c r="B51" s="103" t="s">
        <v>137</v>
      </c>
      <c r="C51" s="93" t="s">
        <v>138</v>
      </c>
      <c r="D51" s="94" t="s">
        <v>139</v>
      </c>
      <c r="E51" s="223">
        <v>0</v>
      </c>
      <c r="F51" s="224">
        <v>1</v>
      </c>
      <c r="G51" s="224">
        <v>1</v>
      </c>
      <c r="H51" s="224">
        <v>1</v>
      </c>
      <c r="I51" s="224">
        <v>0</v>
      </c>
      <c r="J51" s="219">
        <f t="shared" si="0"/>
        <v>3</v>
      </c>
      <c r="K51" s="225">
        <v>4</v>
      </c>
      <c r="L51" s="221">
        <v>0</v>
      </c>
      <c r="M51" s="222">
        <v>0</v>
      </c>
      <c r="N51" s="222">
        <v>0</v>
      </c>
      <c r="O51" s="222">
        <v>0</v>
      </c>
      <c r="P51" s="222">
        <v>0</v>
      </c>
      <c r="Q51" s="219">
        <f t="shared" si="1"/>
        <v>0</v>
      </c>
      <c r="R51" s="222">
        <v>0</v>
      </c>
      <c r="S51" s="223">
        <v>0</v>
      </c>
      <c r="T51" s="224">
        <v>1</v>
      </c>
      <c r="U51" s="224">
        <v>1</v>
      </c>
      <c r="V51" s="224">
        <v>1</v>
      </c>
      <c r="W51" s="224">
        <v>0</v>
      </c>
      <c r="X51" s="219">
        <f t="shared" si="2"/>
        <v>3</v>
      </c>
      <c r="Y51" s="225">
        <v>4</v>
      </c>
      <c r="Z51" s="247" t="e">
        <f>VLOOKUP($D51,#REF!, Z$1-21, FALSE)*S51</f>
        <v>#REF!</v>
      </c>
      <c r="AA51" s="218" t="e">
        <f>VLOOKUP($D51,#REF!, AA$1-21, FALSE)*T51</f>
        <v>#REF!</v>
      </c>
      <c r="AB51" s="218" t="e">
        <f>VLOOKUP($D51,#REF!, AB$1-21, FALSE)*U51</f>
        <v>#REF!</v>
      </c>
      <c r="AC51" s="218" t="e">
        <f>VLOOKUP($D51,#REF!, AC$1-21, FALSE)*V51</f>
        <v>#REF!</v>
      </c>
      <c r="AD51" s="218" t="e">
        <f>VLOOKUP($D51,#REF!, AD$1-21, FALSE)*W51</f>
        <v>#REF!</v>
      </c>
      <c r="AE51" s="219" t="e">
        <f t="shared" si="7"/>
        <v>#REF!</v>
      </c>
      <c r="AF51" s="248" t="e">
        <f>VLOOKUP($D51,#REF!, AF$1-22, FALSE)*Y51</f>
        <v>#REF!</v>
      </c>
      <c r="AG51" s="223" t="e">
        <f t="shared" si="3"/>
        <v>#REF!</v>
      </c>
      <c r="AH51" s="224" t="e">
        <f t="shared" si="4"/>
        <v>#REF!</v>
      </c>
      <c r="AI51" s="225" t="e">
        <f t="shared" si="5"/>
        <v>#REF!</v>
      </c>
      <c r="AJ51" s="137">
        <v>1663136</v>
      </c>
      <c r="AK51" s="150" t="e">
        <f t="shared" si="6"/>
        <v>#REF!</v>
      </c>
      <c r="AL51" s="111" t="e">
        <f>VLOOKUP($D51,#REF!,9,FALSE)-AG51</f>
        <v>#REF!</v>
      </c>
      <c r="AM51" s="111" t="e">
        <f>VLOOKUP($D51,#REF!,10,FALSE)-AH51</f>
        <v>#REF!</v>
      </c>
    </row>
    <row r="52" spans="1:39" x14ac:dyDescent="0.3">
      <c r="A52" s="102">
        <v>49</v>
      </c>
      <c r="B52" s="103" t="s">
        <v>392</v>
      </c>
      <c r="C52" s="93" t="s">
        <v>140</v>
      </c>
      <c r="D52" s="94" t="s">
        <v>141</v>
      </c>
      <c r="E52" s="223">
        <v>0</v>
      </c>
      <c r="F52" s="224">
        <v>1</v>
      </c>
      <c r="G52" s="224">
        <v>3</v>
      </c>
      <c r="H52" s="224">
        <v>4</v>
      </c>
      <c r="I52" s="224">
        <v>0</v>
      </c>
      <c r="J52" s="219">
        <f t="shared" si="0"/>
        <v>8</v>
      </c>
      <c r="K52" s="225">
        <v>9</v>
      </c>
      <c r="L52" s="221">
        <v>0</v>
      </c>
      <c r="M52" s="222">
        <v>0</v>
      </c>
      <c r="N52" s="222">
        <v>-1</v>
      </c>
      <c r="O52" s="222">
        <v>-2</v>
      </c>
      <c r="P52" s="222">
        <v>0</v>
      </c>
      <c r="Q52" s="219">
        <f t="shared" si="1"/>
        <v>-3</v>
      </c>
      <c r="R52" s="222">
        <v>0</v>
      </c>
      <c r="S52" s="223">
        <v>0</v>
      </c>
      <c r="T52" s="224">
        <v>1</v>
      </c>
      <c r="U52" s="224">
        <v>2</v>
      </c>
      <c r="V52" s="224">
        <v>2</v>
      </c>
      <c r="W52" s="224">
        <v>0</v>
      </c>
      <c r="X52" s="219">
        <f t="shared" si="2"/>
        <v>5</v>
      </c>
      <c r="Y52" s="225">
        <v>9</v>
      </c>
      <c r="Z52" s="247" t="e">
        <f>VLOOKUP($D52,#REF!, Z$1-21, FALSE)*S52</f>
        <v>#REF!</v>
      </c>
      <c r="AA52" s="218" t="e">
        <f>VLOOKUP($D52,#REF!, AA$1-21, FALSE)*T52</f>
        <v>#REF!</v>
      </c>
      <c r="AB52" s="218" t="e">
        <f>VLOOKUP($D52,#REF!, AB$1-21, FALSE)*U52</f>
        <v>#REF!</v>
      </c>
      <c r="AC52" s="218" t="e">
        <f>VLOOKUP($D52,#REF!, AC$1-21, FALSE)*V52</f>
        <v>#REF!</v>
      </c>
      <c r="AD52" s="218" t="e">
        <f>VLOOKUP($D52,#REF!, AD$1-21, FALSE)*W52</f>
        <v>#REF!</v>
      </c>
      <c r="AE52" s="219" t="e">
        <f t="shared" si="7"/>
        <v>#REF!</v>
      </c>
      <c r="AF52" s="248" t="e">
        <f>VLOOKUP($D52,#REF!, AF$1-22, FALSE)*Y52</f>
        <v>#REF!</v>
      </c>
      <c r="AG52" s="223" t="e">
        <f t="shared" si="3"/>
        <v>#REF!</v>
      </c>
      <c r="AH52" s="224" t="e">
        <f t="shared" si="4"/>
        <v>#REF!</v>
      </c>
      <c r="AI52" s="225" t="e">
        <f t="shared" si="5"/>
        <v>#REF!</v>
      </c>
      <c r="AJ52" s="137">
        <v>464864</v>
      </c>
      <c r="AK52" s="150" t="e">
        <f t="shared" si="6"/>
        <v>#REF!</v>
      </c>
      <c r="AL52" s="111" t="e">
        <f>VLOOKUP($D52,#REF!,9,FALSE)-AG52</f>
        <v>#REF!</v>
      </c>
      <c r="AM52" s="111" t="e">
        <f>VLOOKUP($D52,#REF!,10,FALSE)-AH52</f>
        <v>#REF!</v>
      </c>
    </row>
    <row r="53" spans="1:39" x14ac:dyDescent="0.3">
      <c r="A53" s="102">
        <v>50</v>
      </c>
      <c r="B53" s="103" t="s">
        <v>393</v>
      </c>
      <c r="C53" s="93" t="s">
        <v>142</v>
      </c>
      <c r="D53" s="94" t="s">
        <v>143</v>
      </c>
      <c r="E53" s="223">
        <v>0</v>
      </c>
      <c r="F53" s="224">
        <v>0</v>
      </c>
      <c r="G53" s="224">
        <v>1</v>
      </c>
      <c r="H53" s="224">
        <v>0</v>
      </c>
      <c r="I53" s="224">
        <v>1</v>
      </c>
      <c r="J53" s="219">
        <f t="shared" si="0"/>
        <v>2</v>
      </c>
      <c r="K53" s="225">
        <v>3</v>
      </c>
      <c r="L53" s="221">
        <v>0</v>
      </c>
      <c r="M53" s="222">
        <v>0</v>
      </c>
      <c r="N53" s="222">
        <v>0</v>
      </c>
      <c r="O53" s="222">
        <v>0</v>
      </c>
      <c r="P53" s="222">
        <v>0</v>
      </c>
      <c r="Q53" s="219">
        <f t="shared" si="1"/>
        <v>0</v>
      </c>
      <c r="R53" s="222">
        <v>0</v>
      </c>
      <c r="S53" s="223">
        <v>0</v>
      </c>
      <c r="T53" s="224">
        <v>0</v>
      </c>
      <c r="U53" s="224">
        <v>1</v>
      </c>
      <c r="V53" s="224">
        <v>0</v>
      </c>
      <c r="W53" s="224">
        <v>1</v>
      </c>
      <c r="X53" s="219">
        <f t="shared" si="2"/>
        <v>2</v>
      </c>
      <c r="Y53" s="225">
        <v>3</v>
      </c>
      <c r="Z53" s="247" t="e">
        <f>VLOOKUP($D53,#REF!, Z$1-21, FALSE)*S53</f>
        <v>#REF!</v>
      </c>
      <c r="AA53" s="218" t="e">
        <f>VLOOKUP($D53,#REF!, AA$1-21, FALSE)*T53</f>
        <v>#REF!</v>
      </c>
      <c r="AB53" s="218" t="e">
        <f>VLOOKUP($D53,#REF!, AB$1-21, FALSE)*U53</f>
        <v>#REF!</v>
      </c>
      <c r="AC53" s="218" t="e">
        <f>VLOOKUP($D53,#REF!, AC$1-21, FALSE)*V53</f>
        <v>#REF!</v>
      </c>
      <c r="AD53" s="218" t="e">
        <f>VLOOKUP($D53,#REF!, AD$1-21, FALSE)*W53</f>
        <v>#REF!</v>
      </c>
      <c r="AE53" s="219" t="e">
        <f t="shared" si="7"/>
        <v>#REF!</v>
      </c>
      <c r="AF53" s="248" t="e">
        <f>VLOOKUP($D53,#REF!, AF$1-22, FALSE)*Y53</f>
        <v>#REF!</v>
      </c>
      <c r="AG53" s="223" t="e">
        <f t="shared" si="3"/>
        <v>#REF!</v>
      </c>
      <c r="AH53" s="224" t="e">
        <f t="shared" si="4"/>
        <v>#REF!</v>
      </c>
      <c r="AI53" s="225" t="e">
        <f t="shared" si="5"/>
        <v>#REF!</v>
      </c>
      <c r="AJ53" s="137">
        <v>1625834</v>
      </c>
      <c r="AK53" s="150" t="e">
        <f t="shared" si="6"/>
        <v>#REF!</v>
      </c>
      <c r="AL53" s="111" t="e">
        <f>VLOOKUP($D53,#REF!,9,FALSE)-AG53</f>
        <v>#REF!</v>
      </c>
      <c r="AM53" s="111" t="e">
        <f>VLOOKUP($D53,#REF!,10,FALSE)-AH53</f>
        <v>#REF!</v>
      </c>
    </row>
    <row r="54" spans="1:39" x14ac:dyDescent="0.3">
      <c r="A54" s="102">
        <v>51</v>
      </c>
      <c r="B54" s="103" t="s">
        <v>144</v>
      </c>
      <c r="C54" s="93" t="s">
        <v>145</v>
      </c>
      <c r="D54" s="94" t="s">
        <v>146</v>
      </c>
      <c r="E54" s="223">
        <v>0</v>
      </c>
      <c r="F54" s="224">
        <v>1</v>
      </c>
      <c r="G54" s="224">
        <v>3</v>
      </c>
      <c r="H54" s="224">
        <v>2</v>
      </c>
      <c r="I54" s="224">
        <v>0</v>
      </c>
      <c r="J54" s="219">
        <f t="shared" si="0"/>
        <v>6</v>
      </c>
      <c r="K54" s="225">
        <v>6</v>
      </c>
      <c r="L54" s="221">
        <v>0</v>
      </c>
      <c r="M54" s="222">
        <v>0</v>
      </c>
      <c r="N54" s="222">
        <v>0</v>
      </c>
      <c r="O54" s="222">
        <v>0</v>
      </c>
      <c r="P54" s="222">
        <v>0</v>
      </c>
      <c r="Q54" s="219">
        <f t="shared" si="1"/>
        <v>0</v>
      </c>
      <c r="R54" s="222">
        <v>0</v>
      </c>
      <c r="S54" s="223">
        <v>0</v>
      </c>
      <c r="T54" s="224">
        <v>1</v>
      </c>
      <c r="U54" s="224">
        <v>3</v>
      </c>
      <c r="V54" s="224">
        <v>2</v>
      </c>
      <c r="W54" s="224">
        <v>0</v>
      </c>
      <c r="X54" s="219">
        <f t="shared" si="2"/>
        <v>6</v>
      </c>
      <c r="Y54" s="225">
        <v>6</v>
      </c>
      <c r="Z54" s="247" t="e">
        <f>VLOOKUP($D54,#REF!, Z$1-21, FALSE)*S54</f>
        <v>#REF!</v>
      </c>
      <c r="AA54" s="218" t="e">
        <f>VLOOKUP($D54,#REF!, AA$1-21, FALSE)*T54</f>
        <v>#REF!</v>
      </c>
      <c r="AB54" s="218" t="e">
        <f>VLOOKUP($D54,#REF!, AB$1-21, FALSE)*U54</f>
        <v>#REF!</v>
      </c>
      <c r="AC54" s="218" t="e">
        <f>VLOOKUP($D54,#REF!, AC$1-21, FALSE)*V54</f>
        <v>#REF!</v>
      </c>
      <c r="AD54" s="218" t="e">
        <f>VLOOKUP($D54,#REF!, AD$1-21, FALSE)*W54</f>
        <v>#REF!</v>
      </c>
      <c r="AE54" s="219" t="e">
        <f t="shared" si="7"/>
        <v>#REF!</v>
      </c>
      <c r="AF54" s="248" t="e">
        <f>VLOOKUP($D54,#REF!, AF$1-22, FALSE)*Y54</f>
        <v>#REF!</v>
      </c>
      <c r="AG54" s="223" t="e">
        <f t="shared" si="3"/>
        <v>#REF!</v>
      </c>
      <c r="AH54" s="224" t="e">
        <f t="shared" si="4"/>
        <v>#REF!</v>
      </c>
      <c r="AI54" s="225" t="e">
        <f t="shared" si="5"/>
        <v>#REF!</v>
      </c>
      <c r="AJ54" s="137">
        <v>1683319.97</v>
      </c>
      <c r="AK54" s="150" t="e">
        <f t="shared" si="6"/>
        <v>#REF!</v>
      </c>
      <c r="AL54" s="111" t="e">
        <f>VLOOKUP($D54,#REF!,9,FALSE)-AG54</f>
        <v>#REF!</v>
      </c>
      <c r="AM54" s="111" t="e">
        <f>VLOOKUP($D54,#REF!,10,FALSE)-AH54</f>
        <v>#REF!</v>
      </c>
    </row>
    <row r="55" spans="1:39" x14ac:dyDescent="0.3">
      <c r="A55" s="102">
        <v>52</v>
      </c>
      <c r="B55" s="103" t="s">
        <v>150</v>
      </c>
      <c r="C55" s="93" t="s">
        <v>151</v>
      </c>
      <c r="D55" s="94" t="s">
        <v>152</v>
      </c>
      <c r="E55" s="223">
        <v>0</v>
      </c>
      <c r="F55" s="224">
        <v>0</v>
      </c>
      <c r="G55" s="224">
        <v>1</v>
      </c>
      <c r="H55" s="224">
        <v>0</v>
      </c>
      <c r="I55" s="224">
        <v>0</v>
      </c>
      <c r="J55" s="219">
        <f t="shared" si="0"/>
        <v>1</v>
      </c>
      <c r="K55" s="225">
        <v>2</v>
      </c>
      <c r="L55" s="221">
        <v>0</v>
      </c>
      <c r="M55" s="222">
        <v>0</v>
      </c>
      <c r="N55" s="222">
        <v>0</v>
      </c>
      <c r="O55" s="222">
        <v>0</v>
      </c>
      <c r="P55" s="222">
        <v>0</v>
      </c>
      <c r="Q55" s="219">
        <f t="shared" si="1"/>
        <v>0</v>
      </c>
      <c r="R55" s="222">
        <v>0</v>
      </c>
      <c r="S55" s="223">
        <v>0</v>
      </c>
      <c r="T55" s="224">
        <v>0</v>
      </c>
      <c r="U55" s="224">
        <v>1</v>
      </c>
      <c r="V55" s="224">
        <v>0</v>
      </c>
      <c r="W55" s="224">
        <v>0</v>
      </c>
      <c r="X55" s="219">
        <f t="shared" si="2"/>
        <v>1</v>
      </c>
      <c r="Y55" s="225">
        <v>2</v>
      </c>
      <c r="Z55" s="247" t="e">
        <f>VLOOKUP($D55,#REF!, Z$1-21, FALSE)*S55</f>
        <v>#REF!</v>
      </c>
      <c r="AA55" s="218" t="e">
        <f>VLOOKUP($D55,#REF!, AA$1-21, FALSE)*T55</f>
        <v>#REF!</v>
      </c>
      <c r="AB55" s="218" t="e">
        <f>VLOOKUP($D55,#REF!, AB$1-21, FALSE)*U55</f>
        <v>#REF!</v>
      </c>
      <c r="AC55" s="218" t="e">
        <f>VLOOKUP($D55,#REF!, AC$1-21, FALSE)*V55</f>
        <v>#REF!</v>
      </c>
      <c r="AD55" s="218" t="e">
        <f>VLOOKUP($D55,#REF!, AD$1-21, FALSE)*W55</f>
        <v>#REF!</v>
      </c>
      <c r="AE55" s="219" t="e">
        <f t="shared" si="7"/>
        <v>#REF!</v>
      </c>
      <c r="AF55" s="248" t="e">
        <f>VLOOKUP($D55,#REF!, AF$1-22, FALSE)*Y55</f>
        <v>#REF!</v>
      </c>
      <c r="AG55" s="223" t="e">
        <f t="shared" si="3"/>
        <v>#REF!</v>
      </c>
      <c r="AH55" s="224" t="e">
        <f t="shared" si="4"/>
        <v>#REF!</v>
      </c>
      <c r="AI55" s="225" t="e">
        <f t="shared" si="5"/>
        <v>#REF!</v>
      </c>
      <c r="AJ55" s="137">
        <v>269916</v>
      </c>
      <c r="AK55" s="150" t="e">
        <f t="shared" si="6"/>
        <v>#REF!</v>
      </c>
      <c r="AL55" s="111" t="e">
        <f>VLOOKUP($D55,#REF!,9,FALSE)-AG55</f>
        <v>#REF!</v>
      </c>
      <c r="AM55" s="111" t="e">
        <f>VLOOKUP($D55,#REF!,10,FALSE)-AH55</f>
        <v>#REF!</v>
      </c>
    </row>
    <row r="56" spans="1:39" x14ac:dyDescent="0.3">
      <c r="A56" s="102">
        <v>53</v>
      </c>
      <c r="B56" s="103" t="s">
        <v>153</v>
      </c>
      <c r="C56" s="93" t="s">
        <v>154</v>
      </c>
      <c r="D56" s="94" t="s">
        <v>155</v>
      </c>
      <c r="E56" s="223">
        <v>0</v>
      </c>
      <c r="F56" s="224">
        <v>1</v>
      </c>
      <c r="G56" s="224">
        <v>1</v>
      </c>
      <c r="H56" s="224">
        <v>1</v>
      </c>
      <c r="I56" s="224">
        <v>0</v>
      </c>
      <c r="J56" s="219">
        <f t="shared" si="0"/>
        <v>3</v>
      </c>
      <c r="K56" s="225">
        <v>4</v>
      </c>
      <c r="L56" s="221">
        <v>0</v>
      </c>
      <c r="M56" s="222">
        <v>0</v>
      </c>
      <c r="N56" s="222">
        <v>0</v>
      </c>
      <c r="O56" s="222">
        <v>1</v>
      </c>
      <c r="P56" s="222">
        <v>0</v>
      </c>
      <c r="Q56" s="219">
        <f t="shared" si="1"/>
        <v>1</v>
      </c>
      <c r="R56" s="222">
        <v>0</v>
      </c>
      <c r="S56" s="223">
        <v>0</v>
      </c>
      <c r="T56" s="224">
        <v>1</v>
      </c>
      <c r="U56" s="224">
        <v>1</v>
      </c>
      <c r="V56" s="224">
        <v>2</v>
      </c>
      <c r="W56" s="224">
        <v>0</v>
      </c>
      <c r="X56" s="219">
        <f t="shared" si="2"/>
        <v>4</v>
      </c>
      <c r="Y56" s="225">
        <v>4</v>
      </c>
      <c r="Z56" s="247" t="e">
        <f>VLOOKUP($D56,#REF!, Z$1-21, FALSE)*S56</f>
        <v>#REF!</v>
      </c>
      <c r="AA56" s="218" t="e">
        <f>VLOOKUP($D56,#REF!, AA$1-21, FALSE)*T56</f>
        <v>#REF!</v>
      </c>
      <c r="AB56" s="218" t="e">
        <f>VLOOKUP($D56,#REF!, AB$1-21, FALSE)*U56</f>
        <v>#REF!</v>
      </c>
      <c r="AC56" s="218" t="e">
        <f>VLOOKUP($D56,#REF!, AC$1-21, FALSE)*V56</f>
        <v>#REF!</v>
      </c>
      <c r="AD56" s="218" t="e">
        <f>VLOOKUP($D56,#REF!, AD$1-21, FALSE)*W56</f>
        <v>#REF!</v>
      </c>
      <c r="AE56" s="219" t="e">
        <f t="shared" si="7"/>
        <v>#REF!</v>
      </c>
      <c r="AF56" s="248" t="e">
        <f>VLOOKUP($D56,#REF!, AF$1-22, FALSE)*Y56</f>
        <v>#REF!</v>
      </c>
      <c r="AG56" s="223" t="e">
        <f t="shared" si="3"/>
        <v>#REF!</v>
      </c>
      <c r="AH56" s="224" t="e">
        <f t="shared" si="4"/>
        <v>#REF!</v>
      </c>
      <c r="AI56" s="225" t="e">
        <f t="shared" si="5"/>
        <v>#REF!</v>
      </c>
      <c r="AJ56" s="137">
        <v>732022</v>
      </c>
      <c r="AK56" s="150" t="e">
        <f t="shared" si="6"/>
        <v>#REF!</v>
      </c>
      <c r="AL56" s="111" t="e">
        <f>VLOOKUP($D56,#REF!,9,FALSE)-AG56</f>
        <v>#REF!</v>
      </c>
      <c r="AM56" s="111" t="e">
        <f>VLOOKUP($D56,#REF!,10,FALSE)-AH56</f>
        <v>#REF!</v>
      </c>
    </row>
    <row r="57" spans="1:39" x14ac:dyDescent="0.3">
      <c r="A57" s="102">
        <v>54</v>
      </c>
      <c r="B57" s="103" t="s">
        <v>156</v>
      </c>
      <c r="C57" s="93" t="s">
        <v>157</v>
      </c>
      <c r="D57" s="94" t="s">
        <v>158</v>
      </c>
      <c r="E57" s="223">
        <v>0</v>
      </c>
      <c r="F57" s="224">
        <v>0</v>
      </c>
      <c r="G57" s="224">
        <v>1</v>
      </c>
      <c r="H57" s="224">
        <v>0</v>
      </c>
      <c r="I57" s="224">
        <v>0</v>
      </c>
      <c r="J57" s="219">
        <f t="shared" si="0"/>
        <v>1</v>
      </c>
      <c r="K57" s="225">
        <v>2</v>
      </c>
      <c r="L57" s="221">
        <v>0</v>
      </c>
      <c r="M57" s="222">
        <v>0</v>
      </c>
      <c r="N57" s="222">
        <v>0</v>
      </c>
      <c r="O57" s="222">
        <v>0</v>
      </c>
      <c r="P57" s="222">
        <v>0</v>
      </c>
      <c r="Q57" s="219">
        <f t="shared" si="1"/>
        <v>0</v>
      </c>
      <c r="R57" s="222">
        <v>0</v>
      </c>
      <c r="S57" s="223">
        <v>0</v>
      </c>
      <c r="T57" s="224">
        <v>0</v>
      </c>
      <c r="U57" s="224">
        <v>1</v>
      </c>
      <c r="V57" s="224">
        <v>0</v>
      </c>
      <c r="W57" s="224">
        <v>0</v>
      </c>
      <c r="X57" s="219">
        <f t="shared" si="2"/>
        <v>1</v>
      </c>
      <c r="Y57" s="225">
        <v>2</v>
      </c>
      <c r="Z57" s="247" t="e">
        <f>VLOOKUP($D57,#REF!, Z$1-21, FALSE)*S57</f>
        <v>#REF!</v>
      </c>
      <c r="AA57" s="218" t="e">
        <f>VLOOKUP($D57,#REF!, AA$1-21, FALSE)*T57</f>
        <v>#REF!</v>
      </c>
      <c r="AB57" s="218" t="e">
        <f>VLOOKUP($D57,#REF!, AB$1-21, FALSE)*U57</f>
        <v>#REF!</v>
      </c>
      <c r="AC57" s="218" t="e">
        <f>VLOOKUP($D57,#REF!, AC$1-21, FALSE)*V57</f>
        <v>#REF!</v>
      </c>
      <c r="AD57" s="218" t="e">
        <f>VLOOKUP($D57,#REF!, AD$1-21, FALSE)*W57</f>
        <v>#REF!</v>
      </c>
      <c r="AE57" s="219" t="e">
        <f t="shared" si="7"/>
        <v>#REF!</v>
      </c>
      <c r="AF57" s="248" t="e">
        <f>VLOOKUP($D57,#REF!, AF$1-22, FALSE)*Y57</f>
        <v>#REF!</v>
      </c>
      <c r="AG57" s="223" t="e">
        <f t="shared" si="3"/>
        <v>#REF!</v>
      </c>
      <c r="AH57" s="224" t="e">
        <f t="shared" si="4"/>
        <v>#REF!</v>
      </c>
      <c r="AI57" s="225" t="e">
        <f t="shared" si="5"/>
        <v>#REF!</v>
      </c>
      <c r="AJ57" s="137">
        <v>275498</v>
      </c>
      <c r="AK57" s="150" t="e">
        <f t="shared" si="6"/>
        <v>#REF!</v>
      </c>
      <c r="AL57" s="111" t="e">
        <f>VLOOKUP($D57,#REF!,9,FALSE)-AG57</f>
        <v>#REF!</v>
      </c>
      <c r="AM57" s="111" t="e">
        <f>VLOOKUP($D57,#REF!,10,FALSE)-AH57</f>
        <v>#REF!</v>
      </c>
    </row>
    <row r="58" spans="1:39" x14ac:dyDescent="0.3">
      <c r="A58" s="102">
        <v>55</v>
      </c>
      <c r="B58" s="103" t="s">
        <v>161</v>
      </c>
      <c r="C58" s="93" t="s">
        <v>162</v>
      </c>
      <c r="D58" s="94" t="s">
        <v>163</v>
      </c>
      <c r="E58" s="223">
        <v>0</v>
      </c>
      <c r="F58" s="224">
        <v>0</v>
      </c>
      <c r="G58" s="224">
        <v>6</v>
      </c>
      <c r="H58" s="224">
        <v>3</v>
      </c>
      <c r="I58" s="224">
        <v>0</v>
      </c>
      <c r="J58" s="219">
        <f t="shared" si="0"/>
        <v>9</v>
      </c>
      <c r="K58" s="225">
        <v>5</v>
      </c>
      <c r="L58" s="221">
        <v>0</v>
      </c>
      <c r="M58" s="222">
        <v>0</v>
      </c>
      <c r="N58" s="222">
        <v>0</v>
      </c>
      <c r="O58" s="222">
        <v>0</v>
      </c>
      <c r="P58" s="222">
        <v>0</v>
      </c>
      <c r="Q58" s="219">
        <f t="shared" si="1"/>
        <v>0</v>
      </c>
      <c r="R58" s="222">
        <v>0</v>
      </c>
      <c r="S58" s="223">
        <v>0</v>
      </c>
      <c r="T58" s="224">
        <v>0</v>
      </c>
      <c r="U58" s="224">
        <v>6</v>
      </c>
      <c r="V58" s="224">
        <v>3</v>
      </c>
      <c r="W58" s="224">
        <v>0</v>
      </c>
      <c r="X58" s="219">
        <f t="shared" si="2"/>
        <v>9</v>
      </c>
      <c r="Y58" s="225">
        <v>5</v>
      </c>
      <c r="Z58" s="247" t="e">
        <f>VLOOKUP($D58,#REF!, Z$1-21, FALSE)*S58</f>
        <v>#REF!</v>
      </c>
      <c r="AA58" s="218" t="e">
        <f>VLOOKUP($D58,#REF!, AA$1-21, FALSE)*T58</f>
        <v>#REF!</v>
      </c>
      <c r="AB58" s="218" t="e">
        <f>VLOOKUP($D58,#REF!, AB$1-21, FALSE)*U58</f>
        <v>#REF!</v>
      </c>
      <c r="AC58" s="218" t="e">
        <f>VLOOKUP($D58,#REF!, AC$1-21, FALSE)*V58</f>
        <v>#REF!</v>
      </c>
      <c r="AD58" s="218" t="e">
        <f>VLOOKUP($D58,#REF!, AD$1-21, FALSE)*W58</f>
        <v>#REF!</v>
      </c>
      <c r="AE58" s="219" t="e">
        <f t="shared" si="7"/>
        <v>#REF!</v>
      </c>
      <c r="AF58" s="248" t="e">
        <f>VLOOKUP($D58,#REF!, AF$1-22, FALSE)*Y58</f>
        <v>#REF!</v>
      </c>
      <c r="AG58" s="223" t="e">
        <f t="shared" si="3"/>
        <v>#REF!</v>
      </c>
      <c r="AH58" s="224" t="e">
        <f t="shared" si="4"/>
        <v>#REF!</v>
      </c>
      <c r="AI58" s="225" t="e">
        <f t="shared" si="5"/>
        <v>#REF!</v>
      </c>
      <c r="AJ58" s="137">
        <v>1754492</v>
      </c>
      <c r="AK58" s="150" t="e">
        <f t="shared" si="6"/>
        <v>#REF!</v>
      </c>
      <c r="AL58" s="111" t="e">
        <f>VLOOKUP($D58,#REF!,9,FALSE)-AG58</f>
        <v>#REF!</v>
      </c>
      <c r="AM58" s="111" t="e">
        <f>VLOOKUP($D58,#REF!,10,FALSE)-AH58</f>
        <v>#REF!</v>
      </c>
    </row>
    <row r="59" spans="1:39" x14ac:dyDescent="0.3">
      <c r="A59" s="102">
        <v>56</v>
      </c>
      <c r="B59" s="103" t="s">
        <v>312</v>
      </c>
      <c r="C59" s="93" t="s">
        <v>313</v>
      </c>
      <c r="D59" s="94" t="s">
        <v>160</v>
      </c>
      <c r="E59" s="223">
        <v>0</v>
      </c>
      <c r="F59" s="224">
        <v>0</v>
      </c>
      <c r="G59" s="224">
        <v>1</v>
      </c>
      <c r="H59" s="224">
        <v>0</v>
      </c>
      <c r="I59" s="224">
        <v>0</v>
      </c>
      <c r="J59" s="219">
        <f t="shared" si="0"/>
        <v>1</v>
      </c>
      <c r="K59" s="225">
        <v>2</v>
      </c>
      <c r="L59" s="221">
        <v>0</v>
      </c>
      <c r="M59" s="222">
        <v>0</v>
      </c>
      <c r="N59" s="222">
        <v>0</v>
      </c>
      <c r="O59" s="222">
        <v>0</v>
      </c>
      <c r="P59" s="222">
        <v>0</v>
      </c>
      <c r="Q59" s="219">
        <f t="shared" si="1"/>
        <v>0</v>
      </c>
      <c r="R59" s="222">
        <v>0</v>
      </c>
      <c r="S59" s="223">
        <v>0</v>
      </c>
      <c r="T59" s="224">
        <v>0</v>
      </c>
      <c r="U59" s="224">
        <v>1</v>
      </c>
      <c r="V59" s="224">
        <v>0</v>
      </c>
      <c r="W59" s="224">
        <v>0</v>
      </c>
      <c r="X59" s="219">
        <f t="shared" si="2"/>
        <v>1</v>
      </c>
      <c r="Y59" s="225">
        <v>2</v>
      </c>
      <c r="Z59" s="247" t="e">
        <f>VLOOKUP($D59,#REF!, Z$1-21, FALSE)*S59</f>
        <v>#REF!</v>
      </c>
      <c r="AA59" s="218" t="e">
        <f>VLOOKUP($D59,#REF!, AA$1-21, FALSE)*T59</f>
        <v>#REF!</v>
      </c>
      <c r="AB59" s="218" t="e">
        <f>VLOOKUP($D59,#REF!, AB$1-21, FALSE)*U59</f>
        <v>#REF!</v>
      </c>
      <c r="AC59" s="218" t="e">
        <f>VLOOKUP($D59,#REF!, AC$1-21, FALSE)*V59</f>
        <v>#REF!</v>
      </c>
      <c r="AD59" s="218" t="e">
        <f>VLOOKUP($D59,#REF!, AD$1-21, FALSE)*W59</f>
        <v>#REF!</v>
      </c>
      <c r="AE59" s="219" t="e">
        <f t="shared" si="7"/>
        <v>#REF!</v>
      </c>
      <c r="AF59" s="248" t="e">
        <f>VLOOKUP($D59,#REF!, AF$1-22, FALSE)*Y59</f>
        <v>#REF!</v>
      </c>
      <c r="AG59" s="223" t="e">
        <f t="shared" si="3"/>
        <v>#REF!</v>
      </c>
      <c r="AH59" s="224" t="e">
        <f t="shared" si="4"/>
        <v>#REF!</v>
      </c>
      <c r="AI59" s="225" t="e">
        <f t="shared" si="5"/>
        <v>#REF!</v>
      </c>
      <c r="AJ59" s="137">
        <v>438954</v>
      </c>
      <c r="AK59" s="150" t="e">
        <f t="shared" si="6"/>
        <v>#REF!</v>
      </c>
      <c r="AL59" s="111" t="e">
        <f>VLOOKUP($D59,#REF!,9,FALSE)-AG59</f>
        <v>#REF!</v>
      </c>
      <c r="AM59" s="111" t="e">
        <f>VLOOKUP($D59,#REF!,10,FALSE)-AH59</f>
        <v>#REF!</v>
      </c>
    </row>
    <row r="60" spans="1:39" x14ac:dyDescent="0.3">
      <c r="A60" s="102">
        <v>57</v>
      </c>
      <c r="B60" s="103" t="s">
        <v>403</v>
      </c>
      <c r="C60" s="93" t="s">
        <v>164</v>
      </c>
      <c r="D60" s="94" t="s">
        <v>165</v>
      </c>
      <c r="E60" s="223">
        <v>0</v>
      </c>
      <c r="F60" s="224">
        <v>0</v>
      </c>
      <c r="G60" s="224">
        <v>1</v>
      </c>
      <c r="H60" s="224">
        <v>0</v>
      </c>
      <c r="I60" s="224">
        <v>0</v>
      </c>
      <c r="J60" s="219">
        <f t="shared" si="0"/>
        <v>1</v>
      </c>
      <c r="K60" s="225">
        <v>2</v>
      </c>
      <c r="L60" s="221">
        <v>0</v>
      </c>
      <c r="M60" s="222">
        <v>0</v>
      </c>
      <c r="N60" s="222">
        <v>0</v>
      </c>
      <c r="O60" s="222">
        <v>0</v>
      </c>
      <c r="P60" s="222">
        <v>0</v>
      </c>
      <c r="Q60" s="219">
        <f t="shared" si="1"/>
        <v>0</v>
      </c>
      <c r="R60" s="222">
        <v>0</v>
      </c>
      <c r="S60" s="223">
        <v>0</v>
      </c>
      <c r="T60" s="224">
        <v>0</v>
      </c>
      <c r="U60" s="224">
        <v>1</v>
      </c>
      <c r="V60" s="224">
        <v>0</v>
      </c>
      <c r="W60" s="224">
        <v>0</v>
      </c>
      <c r="X60" s="219">
        <f t="shared" si="2"/>
        <v>1</v>
      </c>
      <c r="Y60" s="225">
        <v>2</v>
      </c>
      <c r="Z60" s="247" t="e">
        <f>VLOOKUP($D60,#REF!, Z$1-21, FALSE)*S60</f>
        <v>#REF!</v>
      </c>
      <c r="AA60" s="218" t="e">
        <f>VLOOKUP($D60,#REF!, AA$1-21, FALSE)*T60</f>
        <v>#REF!</v>
      </c>
      <c r="AB60" s="218" t="e">
        <f>VLOOKUP($D60,#REF!, AB$1-21, FALSE)*U60</f>
        <v>#REF!</v>
      </c>
      <c r="AC60" s="218" t="e">
        <f>VLOOKUP($D60,#REF!, AC$1-21, FALSE)*V60</f>
        <v>#REF!</v>
      </c>
      <c r="AD60" s="218" t="e">
        <f>VLOOKUP($D60,#REF!, AD$1-21, FALSE)*W60</f>
        <v>#REF!</v>
      </c>
      <c r="AE60" s="219" t="e">
        <f t="shared" si="7"/>
        <v>#REF!</v>
      </c>
      <c r="AF60" s="248" t="e">
        <f>VLOOKUP($D60,#REF!, AF$1-22, FALSE)*Y60</f>
        <v>#REF!</v>
      </c>
      <c r="AG60" s="223" t="e">
        <f t="shared" si="3"/>
        <v>#REF!</v>
      </c>
      <c r="AH60" s="224" t="e">
        <f t="shared" si="4"/>
        <v>#REF!</v>
      </c>
      <c r="AI60" s="225" t="e">
        <f t="shared" si="5"/>
        <v>#REF!</v>
      </c>
      <c r="AJ60" s="137">
        <v>404951</v>
      </c>
      <c r="AK60" s="150" t="e">
        <f t="shared" si="6"/>
        <v>#REF!</v>
      </c>
      <c r="AL60" s="111" t="e">
        <f>VLOOKUP($D60,#REF!,9,FALSE)-AG60</f>
        <v>#REF!</v>
      </c>
      <c r="AM60" s="111" t="e">
        <f>VLOOKUP($D60,#REF!,10,FALSE)-AH60</f>
        <v>#REF!</v>
      </c>
    </row>
    <row r="61" spans="1:39" x14ac:dyDescent="0.3">
      <c r="A61" s="102">
        <v>58</v>
      </c>
      <c r="B61" s="103" t="s">
        <v>415</v>
      </c>
      <c r="C61" s="93" t="s">
        <v>166</v>
      </c>
      <c r="D61" s="94" t="s">
        <v>167</v>
      </c>
      <c r="E61" s="223">
        <v>0</v>
      </c>
      <c r="F61" s="224">
        <v>0</v>
      </c>
      <c r="G61" s="224">
        <v>1</v>
      </c>
      <c r="H61" s="224">
        <v>0</v>
      </c>
      <c r="I61" s="224">
        <v>1</v>
      </c>
      <c r="J61" s="219">
        <f t="shared" si="0"/>
        <v>2</v>
      </c>
      <c r="K61" s="225">
        <v>3</v>
      </c>
      <c r="L61" s="221">
        <v>0</v>
      </c>
      <c r="M61" s="222">
        <v>0</v>
      </c>
      <c r="N61" s="222">
        <v>0</v>
      </c>
      <c r="O61" s="222">
        <v>1</v>
      </c>
      <c r="P61" s="222">
        <v>-1</v>
      </c>
      <c r="Q61" s="219">
        <f t="shared" si="1"/>
        <v>0</v>
      </c>
      <c r="R61" s="222">
        <v>0</v>
      </c>
      <c r="S61" s="223">
        <v>0</v>
      </c>
      <c r="T61" s="224">
        <v>0</v>
      </c>
      <c r="U61" s="224">
        <v>1</v>
      </c>
      <c r="V61" s="224">
        <v>1</v>
      </c>
      <c r="W61" s="224">
        <v>0</v>
      </c>
      <c r="X61" s="219">
        <f t="shared" si="2"/>
        <v>2</v>
      </c>
      <c r="Y61" s="225">
        <v>3</v>
      </c>
      <c r="Z61" s="247" t="e">
        <f>VLOOKUP($D61,#REF!, Z$1-21, FALSE)*S61</f>
        <v>#REF!</v>
      </c>
      <c r="AA61" s="218" t="e">
        <f>VLOOKUP($D61,#REF!, AA$1-21, FALSE)*T61</f>
        <v>#REF!</v>
      </c>
      <c r="AB61" s="218" t="e">
        <f>VLOOKUP($D61,#REF!, AB$1-21, FALSE)*U61</f>
        <v>#REF!</v>
      </c>
      <c r="AC61" s="218" t="e">
        <f>VLOOKUP($D61,#REF!, AC$1-21, FALSE)*V61</f>
        <v>#REF!</v>
      </c>
      <c r="AD61" s="218" t="e">
        <f>VLOOKUP($D61,#REF!, AD$1-21, FALSE)*W61</f>
        <v>#REF!</v>
      </c>
      <c r="AE61" s="219" t="e">
        <f t="shared" si="7"/>
        <v>#REF!</v>
      </c>
      <c r="AF61" s="248" t="e">
        <f>VLOOKUP($D61,#REF!, AF$1-22, FALSE)*Y61</f>
        <v>#REF!</v>
      </c>
      <c r="AG61" s="223" t="e">
        <f t="shared" si="3"/>
        <v>#REF!</v>
      </c>
      <c r="AH61" s="224" t="e">
        <f t="shared" si="4"/>
        <v>#REF!</v>
      </c>
      <c r="AI61" s="225" t="e">
        <f t="shared" si="5"/>
        <v>#REF!</v>
      </c>
      <c r="AJ61" s="137">
        <v>223382</v>
      </c>
      <c r="AK61" s="150" t="e">
        <f t="shared" si="6"/>
        <v>#REF!</v>
      </c>
      <c r="AL61" s="111" t="e">
        <f>VLOOKUP($D61,#REF!,9,FALSE)-AG61</f>
        <v>#REF!</v>
      </c>
      <c r="AM61" s="111" t="e">
        <f>VLOOKUP($D61,#REF!,10,FALSE)-AH61</f>
        <v>#REF!</v>
      </c>
    </row>
    <row r="62" spans="1:39" x14ac:dyDescent="0.3">
      <c r="A62" s="102">
        <v>59</v>
      </c>
      <c r="B62" s="103" t="s">
        <v>168</v>
      </c>
      <c r="C62" s="93" t="s">
        <v>169</v>
      </c>
      <c r="D62" s="94" t="s">
        <v>170</v>
      </c>
      <c r="E62" s="223">
        <v>0</v>
      </c>
      <c r="F62" s="224">
        <v>0</v>
      </c>
      <c r="G62" s="224">
        <v>1</v>
      </c>
      <c r="H62" s="224">
        <v>0</v>
      </c>
      <c r="I62" s="224">
        <v>0</v>
      </c>
      <c r="J62" s="219">
        <f t="shared" si="0"/>
        <v>1</v>
      </c>
      <c r="K62" s="225">
        <v>2</v>
      </c>
      <c r="L62" s="221">
        <v>0</v>
      </c>
      <c r="M62" s="222">
        <v>0</v>
      </c>
      <c r="N62" s="222">
        <v>-1</v>
      </c>
      <c r="O62" s="222">
        <v>0</v>
      </c>
      <c r="P62" s="222">
        <v>0</v>
      </c>
      <c r="Q62" s="219">
        <f t="shared" si="1"/>
        <v>-1</v>
      </c>
      <c r="R62" s="222">
        <v>0</v>
      </c>
      <c r="S62" s="223">
        <v>0</v>
      </c>
      <c r="T62" s="224">
        <v>0</v>
      </c>
      <c r="U62" s="224">
        <v>0</v>
      </c>
      <c r="V62" s="224">
        <v>0</v>
      </c>
      <c r="W62" s="224">
        <v>0</v>
      </c>
      <c r="X62" s="219">
        <f t="shared" si="2"/>
        <v>0</v>
      </c>
      <c r="Y62" s="225">
        <v>2</v>
      </c>
      <c r="Z62" s="247" t="e">
        <f>VLOOKUP($D62,#REF!, Z$1-21, FALSE)*S62</f>
        <v>#REF!</v>
      </c>
      <c r="AA62" s="218" t="e">
        <f>VLOOKUP($D62,#REF!, AA$1-21, FALSE)*T62</f>
        <v>#REF!</v>
      </c>
      <c r="AB62" s="218" t="e">
        <f>VLOOKUP($D62,#REF!, AB$1-21, FALSE)*U62</f>
        <v>#REF!</v>
      </c>
      <c r="AC62" s="218" t="e">
        <f>VLOOKUP($D62,#REF!, AC$1-21, FALSE)*V62</f>
        <v>#REF!</v>
      </c>
      <c r="AD62" s="218" t="e">
        <f>VLOOKUP($D62,#REF!, AD$1-21, FALSE)*W62</f>
        <v>#REF!</v>
      </c>
      <c r="AE62" s="219" t="e">
        <f t="shared" si="7"/>
        <v>#REF!</v>
      </c>
      <c r="AF62" s="248" t="e">
        <f>VLOOKUP($D62,#REF!, AF$1-22, FALSE)*Y62</f>
        <v>#REF!</v>
      </c>
      <c r="AG62" s="223" t="e">
        <f t="shared" si="3"/>
        <v>#REF!</v>
      </c>
      <c r="AH62" s="224" t="e">
        <f t="shared" si="4"/>
        <v>#REF!</v>
      </c>
      <c r="AI62" s="225" t="e">
        <f t="shared" si="5"/>
        <v>#REF!</v>
      </c>
      <c r="AJ62" s="137">
        <v>1005702</v>
      </c>
      <c r="AK62" s="150" t="e">
        <f t="shared" si="6"/>
        <v>#REF!</v>
      </c>
      <c r="AL62" s="111" t="e">
        <f>VLOOKUP($D62,#REF!,9,FALSE)-AG62</f>
        <v>#REF!</v>
      </c>
      <c r="AM62" s="111" t="e">
        <f>VLOOKUP($D62,#REF!,10,FALSE)-AH62</f>
        <v>#REF!</v>
      </c>
    </row>
    <row r="63" spans="1:39" x14ac:dyDescent="0.3">
      <c r="A63" s="102">
        <v>60</v>
      </c>
      <c r="B63" s="103" t="s">
        <v>404</v>
      </c>
      <c r="C63" s="93" t="s">
        <v>171</v>
      </c>
      <c r="D63" s="94" t="s">
        <v>172</v>
      </c>
      <c r="E63" s="223">
        <v>0</v>
      </c>
      <c r="F63" s="224">
        <v>1</v>
      </c>
      <c r="G63" s="224">
        <v>1</v>
      </c>
      <c r="H63" s="224">
        <v>1</v>
      </c>
      <c r="I63" s="224">
        <v>1</v>
      </c>
      <c r="J63" s="219">
        <f t="shared" si="0"/>
        <v>4</v>
      </c>
      <c r="K63" s="225">
        <v>4</v>
      </c>
      <c r="L63" s="221">
        <v>0</v>
      </c>
      <c r="M63" s="222">
        <v>0</v>
      </c>
      <c r="N63" s="222">
        <v>0</v>
      </c>
      <c r="O63" s="222">
        <v>2</v>
      </c>
      <c r="P63" s="222">
        <v>-1</v>
      </c>
      <c r="Q63" s="219">
        <f t="shared" si="1"/>
        <v>1</v>
      </c>
      <c r="R63" s="222">
        <v>1</v>
      </c>
      <c r="S63" s="223">
        <v>0</v>
      </c>
      <c r="T63" s="224">
        <v>1</v>
      </c>
      <c r="U63" s="224">
        <v>1</v>
      </c>
      <c r="V63" s="224">
        <v>3</v>
      </c>
      <c r="W63" s="224">
        <v>0</v>
      </c>
      <c r="X63" s="219">
        <f t="shared" si="2"/>
        <v>5</v>
      </c>
      <c r="Y63" s="225">
        <v>5</v>
      </c>
      <c r="Z63" s="247" t="e">
        <f>VLOOKUP($D63,#REF!, Z$1-21, FALSE)*S63</f>
        <v>#REF!</v>
      </c>
      <c r="AA63" s="218" t="e">
        <f>VLOOKUP($D63,#REF!, AA$1-21, FALSE)*T63</f>
        <v>#REF!</v>
      </c>
      <c r="AB63" s="218" t="e">
        <f>VLOOKUP($D63,#REF!, AB$1-21, FALSE)*U63</f>
        <v>#REF!</v>
      </c>
      <c r="AC63" s="218" t="e">
        <f>VLOOKUP($D63,#REF!, AC$1-21, FALSE)*V63</f>
        <v>#REF!</v>
      </c>
      <c r="AD63" s="218" t="e">
        <f>VLOOKUP($D63,#REF!, AD$1-21, FALSE)*W63</f>
        <v>#REF!</v>
      </c>
      <c r="AE63" s="219" t="e">
        <f t="shared" si="7"/>
        <v>#REF!</v>
      </c>
      <c r="AF63" s="248" t="e">
        <f>VLOOKUP($D63,#REF!, AF$1-22, FALSE)*Y63</f>
        <v>#REF!</v>
      </c>
      <c r="AG63" s="223" t="e">
        <f t="shared" si="3"/>
        <v>#REF!</v>
      </c>
      <c r="AH63" s="224" t="e">
        <f t="shared" si="4"/>
        <v>#REF!</v>
      </c>
      <c r="AI63" s="225" t="e">
        <f t="shared" si="5"/>
        <v>#REF!</v>
      </c>
      <c r="AJ63" s="137">
        <v>162165</v>
      </c>
      <c r="AK63" s="150" t="e">
        <f t="shared" si="6"/>
        <v>#REF!</v>
      </c>
      <c r="AL63" s="111" t="e">
        <f>VLOOKUP($D63,#REF!,9,FALSE)-AG63</f>
        <v>#REF!</v>
      </c>
      <c r="AM63" s="111" t="e">
        <f>VLOOKUP($D63,#REF!,10,FALSE)-AH63</f>
        <v>#REF!</v>
      </c>
    </row>
    <row r="64" spans="1:39" x14ac:dyDescent="0.3">
      <c r="A64" s="102">
        <v>61</v>
      </c>
      <c r="B64" s="103" t="s">
        <v>375</v>
      </c>
      <c r="C64" s="93" t="s">
        <v>173</v>
      </c>
      <c r="D64" s="94" t="s">
        <v>174</v>
      </c>
      <c r="E64" s="223">
        <v>0</v>
      </c>
      <c r="F64" s="224">
        <v>0</v>
      </c>
      <c r="G64" s="224">
        <v>0</v>
      </c>
      <c r="H64" s="224">
        <v>0</v>
      </c>
      <c r="I64" s="224">
        <v>0</v>
      </c>
      <c r="J64" s="219">
        <f t="shared" si="0"/>
        <v>0</v>
      </c>
      <c r="K64" s="225">
        <v>1</v>
      </c>
      <c r="L64" s="221">
        <v>0</v>
      </c>
      <c r="M64" s="222">
        <v>0</v>
      </c>
      <c r="N64" s="222">
        <v>0</v>
      </c>
      <c r="O64" s="222">
        <v>0</v>
      </c>
      <c r="P64" s="222">
        <v>0</v>
      </c>
      <c r="Q64" s="219">
        <f t="shared" si="1"/>
        <v>0</v>
      </c>
      <c r="R64" s="222">
        <v>0</v>
      </c>
      <c r="S64" s="223">
        <v>0</v>
      </c>
      <c r="T64" s="224">
        <v>0</v>
      </c>
      <c r="U64" s="224">
        <v>0</v>
      </c>
      <c r="V64" s="224">
        <v>0</v>
      </c>
      <c r="W64" s="224">
        <v>0</v>
      </c>
      <c r="X64" s="219">
        <f t="shared" si="2"/>
        <v>0</v>
      </c>
      <c r="Y64" s="225">
        <v>1</v>
      </c>
      <c r="Z64" s="247" t="e">
        <f>VLOOKUP($D64,#REF!, Z$1-21, FALSE)*S64</f>
        <v>#REF!</v>
      </c>
      <c r="AA64" s="218" t="e">
        <f>VLOOKUP($D64,#REF!, AA$1-21, FALSE)*T64</f>
        <v>#REF!</v>
      </c>
      <c r="AB64" s="218" t="e">
        <f>VLOOKUP($D64,#REF!, AB$1-21, FALSE)*U64</f>
        <v>#REF!</v>
      </c>
      <c r="AC64" s="218" t="e">
        <f>VLOOKUP($D64,#REF!, AC$1-21, FALSE)*V64</f>
        <v>#REF!</v>
      </c>
      <c r="AD64" s="218" t="e">
        <f>VLOOKUP($D64,#REF!, AD$1-21, FALSE)*W64</f>
        <v>#REF!</v>
      </c>
      <c r="AE64" s="219" t="e">
        <f t="shared" si="7"/>
        <v>#REF!</v>
      </c>
      <c r="AF64" s="248" t="e">
        <f>VLOOKUP($D64,#REF!, AF$1-22, FALSE)*Y64</f>
        <v>#REF!</v>
      </c>
      <c r="AG64" s="223" t="e">
        <f t="shared" si="3"/>
        <v>#REF!</v>
      </c>
      <c r="AH64" s="224" t="e">
        <f t="shared" si="4"/>
        <v>#REF!</v>
      </c>
      <c r="AI64" s="225" t="e">
        <f t="shared" si="5"/>
        <v>#REF!</v>
      </c>
      <c r="AJ64" s="137">
        <v>826360</v>
      </c>
      <c r="AK64" s="150" t="e">
        <f t="shared" si="6"/>
        <v>#REF!</v>
      </c>
      <c r="AL64" s="111" t="e">
        <f>VLOOKUP($D64,#REF!,9,FALSE)-AG64</f>
        <v>#REF!</v>
      </c>
      <c r="AM64" s="111" t="e">
        <f>VLOOKUP($D64,#REF!,10,FALSE)-AH64</f>
        <v>#REF!</v>
      </c>
    </row>
    <row r="65" spans="1:39" x14ac:dyDescent="0.3">
      <c r="A65" s="102">
        <v>62</v>
      </c>
      <c r="B65" s="103" t="s">
        <v>376</v>
      </c>
      <c r="C65" s="93" t="s">
        <v>175</v>
      </c>
      <c r="D65" s="94" t="s">
        <v>176</v>
      </c>
      <c r="E65" s="223">
        <v>0</v>
      </c>
      <c r="F65" s="224">
        <v>1</v>
      </c>
      <c r="G65" s="224">
        <v>1</v>
      </c>
      <c r="H65" s="224">
        <v>1</v>
      </c>
      <c r="I65" s="224">
        <v>0</v>
      </c>
      <c r="J65" s="219">
        <f t="shared" si="0"/>
        <v>3</v>
      </c>
      <c r="K65" s="225">
        <v>4</v>
      </c>
      <c r="L65" s="221">
        <v>0</v>
      </c>
      <c r="M65" s="222">
        <v>0</v>
      </c>
      <c r="N65" s="222">
        <v>0</v>
      </c>
      <c r="O65" s="222">
        <v>0</v>
      </c>
      <c r="P65" s="222">
        <v>0</v>
      </c>
      <c r="Q65" s="219">
        <f t="shared" si="1"/>
        <v>0</v>
      </c>
      <c r="R65" s="222">
        <v>0</v>
      </c>
      <c r="S65" s="223">
        <v>0</v>
      </c>
      <c r="T65" s="224">
        <v>1</v>
      </c>
      <c r="U65" s="224">
        <v>1</v>
      </c>
      <c r="V65" s="224">
        <v>1</v>
      </c>
      <c r="W65" s="224">
        <v>0</v>
      </c>
      <c r="X65" s="219">
        <f t="shared" si="2"/>
        <v>3</v>
      </c>
      <c r="Y65" s="225">
        <v>4</v>
      </c>
      <c r="Z65" s="247" t="e">
        <f>VLOOKUP($D65,#REF!, Z$1-21, FALSE)*S65</f>
        <v>#REF!</v>
      </c>
      <c r="AA65" s="218" t="e">
        <f>VLOOKUP($D65,#REF!, AA$1-21, FALSE)*T65</f>
        <v>#REF!</v>
      </c>
      <c r="AB65" s="218" t="e">
        <f>VLOOKUP($D65,#REF!, AB$1-21, FALSE)*U65</f>
        <v>#REF!</v>
      </c>
      <c r="AC65" s="218" t="e">
        <f>VLOOKUP($D65,#REF!, AC$1-21, FALSE)*V65</f>
        <v>#REF!</v>
      </c>
      <c r="AD65" s="218" t="e">
        <f>VLOOKUP($D65,#REF!, AD$1-21, FALSE)*W65</f>
        <v>#REF!</v>
      </c>
      <c r="AE65" s="219" t="e">
        <f t="shared" si="7"/>
        <v>#REF!</v>
      </c>
      <c r="AF65" s="248" t="e">
        <f>VLOOKUP($D65,#REF!, AF$1-22, FALSE)*Y65</f>
        <v>#REF!</v>
      </c>
      <c r="AG65" s="223" t="e">
        <f t="shared" si="3"/>
        <v>#REF!</v>
      </c>
      <c r="AH65" s="224" t="e">
        <f t="shared" si="4"/>
        <v>#REF!</v>
      </c>
      <c r="AI65" s="225" t="e">
        <f t="shared" si="5"/>
        <v>#REF!</v>
      </c>
      <c r="AJ65" s="137">
        <v>554341</v>
      </c>
      <c r="AK65" s="150" t="e">
        <f t="shared" si="6"/>
        <v>#REF!</v>
      </c>
      <c r="AL65" s="111" t="e">
        <f>VLOOKUP($D65,#REF!,9,FALSE)-AG65</f>
        <v>#REF!</v>
      </c>
      <c r="AM65" s="111" t="e">
        <f>VLOOKUP($D65,#REF!,10,FALSE)-AH65</f>
        <v>#REF!</v>
      </c>
    </row>
    <row r="66" spans="1:39" x14ac:dyDescent="0.3">
      <c r="A66" s="102">
        <v>63</v>
      </c>
      <c r="B66" s="103" t="s">
        <v>334</v>
      </c>
      <c r="C66" s="93" t="s">
        <v>177</v>
      </c>
      <c r="D66" s="94" t="s">
        <v>335</v>
      </c>
      <c r="E66" s="223">
        <v>0</v>
      </c>
      <c r="F66" s="224">
        <v>1</v>
      </c>
      <c r="G66" s="224">
        <v>1</v>
      </c>
      <c r="H66" s="224">
        <v>0</v>
      </c>
      <c r="I66" s="224">
        <v>0</v>
      </c>
      <c r="J66" s="219">
        <f t="shared" si="0"/>
        <v>2</v>
      </c>
      <c r="K66" s="225">
        <v>2</v>
      </c>
      <c r="L66" s="221">
        <v>0</v>
      </c>
      <c r="M66" s="222">
        <v>0</v>
      </c>
      <c r="N66" s="222">
        <v>0</v>
      </c>
      <c r="O66" s="222">
        <v>0</v>
      </c>
      <c r="P66" s="222">
        <v>0</v>
      </c>
      <c r="Q66" s="219">
        <f t="shared" si="1"/>
        <v>0</v>
      </c>
      <c r="R66" s="222">
        <v>0</v>
      </c>
      <c r="S66" s="223">
        <v>0</v>
      </c>
      <c r="T66" s="224">
        <v>1</v>
      </c>
      <c r="U66" s="224">
        <v>1</v>
      </c>
      <c r="V66" s="224">
        <v>0</v>
      </c>
      <c r="W66" s="224">
        <v>0</v>
      </c>
      <c r="X66" s="219">
        <f t="shared" si="2"/>
        <v>2</v>
      </c>
      <c r="Y66" s="225">
        <v>2</v>
      </c>
      <c r="Z66" s="247" t="e">
        <f>VLOOKUP($D66,#REF!, Z$1-21, FALSE)*S66</f>
        <v>#REF!</v>
      </c>
      <c r="AA66" s="218" t="e">
        <f>VLOOKUP($D66,#REF!, AA$1-21, FALSE)*T66</f>
        <v>#REF!</v>
      </c>
      <c r="AB66" s="218" t="e">
        <f>VLOOKUP($D66,#REF!, AB$1-21, FALSE)*U66</f>
        <v>#REF!</v>
      </c>
      <c r="AC66" s="218" t="e">
        <f>VLOOKUP($D66,#REF!, AC$1-21, FALSE)*V66</f>
        <v>#REF!</v>
      </c>
      <c r="AD66" s="218" t="e">
        <f>VLOOKUP($D66,#REF!, AD$1-21, FALSE)*W66</f>
        <v>#REF!</v>
      </c>
      <c r="AE66" s="219" t="e">
        <f t="shared" si="7"/>
        <v>#REF!</v>
      </c>
      <c r="AF66" s="248" t="e">
        <f>VLOOKUP($D66,#REF!, AF$1-22, FALSE)*Y66</f>
        <v>#REF!</v>
      </c>
      <c r="AG66" s="223" t="e">
        <f t="shared" si="3"/>
        <v>#REF!</v>
      </c>
      <c r="AH66" s="224" t="e">
        <f t="shared" si="4"/>
        <v>#REF!</v>
      </c>
      <c r="AI66" s="225" t="e">
        <f t="shared" si="5"/>
        <v>#REF!</v>
      </c>
      <c r="AJ66" s="137">
        <v>179720</v>
      </c>
      <c r="AK66" s="150" t="e">
        <f t="shared" si="6"/>
        <v>#REF!</v>
      </c>
      <c r="AL66" s="111" t="e">
        <f>VLOOKUP($D66,#REF!,9,FALSE)-AG66</f>
        <v>#REF!</v>
      </c>
      <c r="AM66" s="111" t="e">
        <f>VLOOKUP($D66,#REF!,10,FALSE)-AH66</f>
        <v>#REF!</v>
      </c>
    </row>
    <row r="67" spans="1:39" x14ac:dyDescent="0.3">
      <c r="A67" s="102">
        <v>64</v>
      </c>
      <c r="B67" s="103" t="s">
        <v>416</v>
      </c>
      <c r="C67" s="93" t="s">
        <v>178</v>
      </c>
      <c r="D67" s="94" t="s">
        <v>179</v>
      </c>
      <c r="E67" s="223">
        <v>0</v>
      </c>
      <c r="F67" s="224">
        <v>0</v>
      </c>
      <c r="G67" s="224">
        <v>1</v>
      </c>
      <c r="H67" s="224">
        <v>0</v>
      </c>
      <c r="I67" s="224">
        <v>0</v>
      </c>
      <c r="J67" s="219">
        <f t="shared" si="0"/>
        <v>1</v>
      </c>
      <c r="K67" s="225">
        <v>2</v>
      </c>
      <c r="L67" s="221">
        <v>0</v>
      </c>
      <c r="M67" s="222">
        <v>0</v>
      </c>
      <c r="N67" s="222">
        <v>0</v>
      </c>
      <c r="O67" s="222">
        <v>0</v>
      </c>
      <c r="P67" s="222">
        <v>0</v>
      </c>
      <c r="Q67" s="219">
        <f t="shared" si="1"/>
        <v>0</v>
      </c>
      <c r="R67" s="222">
        <v>0</v>
      </c>
      <c r="S67" s="223">
        <v>0</v>
      </c>
      <c r="T67" s="224">
        <v>0</v>
      </c>
      <c r="U67" s="224">
        <v>1</v>
      </c>
      <c r="V67" s="224">
        <v>0</v>
      </c>
      <c r="W67" s="224">
        <v>0</v>
      </c>
      <c r="X67" s="219">
        <f t="shared" si="2"/>
        <v>1</v>
      </c>
      <c r="Y67" s="225">
        <v>2</v>
      </c>
      <c r="Z67" s="247" t="e">
        <f>VLOOKUP($D67,#REF!, Z$1-21, FALSE)*S67</f>
        <v>#REF!</v>
      </c>
      <c r="AA67" s="218" t="e">
        <f>VLOOKUP($D67,#REF!, AA$1-21, FALSE)*T67</f>
        <v>#REF!</v>
      </c>
      <c r="AB67" s="218" t="e">
        <f>VLOOKUP($D67,#REF!, AB$1-21, FALSE)*U67</f>
        <v>#REF!</v>
      </c>
      <c r="AC67" s="218" t="e">
        <f>VLOOKUP($D67,#REF!, AC$1-21, FALSE)*V67</f>
        <v>#REF!</v>
      </c>
      <c r="AD67" s="218" t="e">
        <f>VLOOKUP($D67,#REF!, AD$1-21, FALSE)*W67</f>
        <v>#REF!</v>
      </c>
      <c r="AE67" s="219" t="e">
        <f t="shared" si="7"/>
        <v>#REF!</v>
      </c>
      <c r="AF67" s="248" t="e">
        <f>VLOOKUP($D67,#REF!, AF$1-22, FALSE)*Y67</f>
        <v>#REF!</v>
      </c>
      <c r="AG67" s="223" t="e">
        <f t="shared" si="3"/>
        <v>#REF!</v>
      </c>
      <c r="AH67" s="224" t="e">
        <f t="shared" si="4"/>
        <v>#REF!</v>
      </c>
      <c r="AI67" s="225" t="e">
        <f t="shared" si="5"/>
        <v>#REF!</v>
      </c>
      <c r="AJ67" s="137">
        <v>241261</v>
      </c>
      <c r="AK67" s="150" t="e">
        <f t="shared" si="6"/>
        <v>#REF!</v>
      </c>
      <c r="AL67" s="111" t="e">
        <f>VLOOKUP($D67,#REF!,9,FALSE)-AG67</f>
        <v>#REF!</v>
      </c>
      <c r="AM67" s="111" t="e">
        <f>VLOOKUP($D67,#REF!,10,FALSE)-AH67</f>
        <v>#REF!</v>
      </c>
    </row>
    <row r="68" spans="1:39" x14ac:dyDescent="0.3">
      <c r="A68" s="102">
        <v>65</v>
      </c>
      <c r="B68" s="103" t="s">
        <v>377</v>
      </c>
      <c r="C68" s="93" t="s">
        <v>180</v>
      </c>
      <c r="D68" s="94" t="s">
        <v>181</v>
      </c>
      <c r="E68" s="223">
        <v>0</v>
      </c>
      <c r="F68" s="224">
        <v>0</v>
      </c>
      <c r="G68" s="224">
        <v>1</v>
      </c>
      <c r="H68" s="224">
        <v>0</v>
      </c>
      <c r="I68" s="224">
        <v>0</v>
      </c>
      <c r="J68" s="219">
        <f t="shared" si="0"/>
        <v>1</v>
      </c>
      <c r="K68" s="225">
        <v>2</v>
      </c>
      <c r="L68" s="221">
        <v>0</v>
      </c>
      <c r="M68" s="222">
        <v>0</v>
      </c>
      <c r="N68" s="222">
        <v>0</v>
      </c>
      <c r="O68" s="222">
        <v>1</v>
      </c>
      <c r="P68" s="222">
        <v>0</v>
      </c>
      <c r="Q68" s="219">
        <f t="shared" si="1"/>
        <v>1</v>
      </c>
      <c r="R68" s="222">
        <v>0</v>
      </c>
      <c r="S68" s="223">
        <v>0</v>
      </c>
      <c r="T68" s="224">
        <v>0</v>
      </c>
      <c r="U68" s="224">
        <v>1</v>
      </c>
      <c r="V68" s="224">
        <v>1</v>
      </c>
      <c r="W68" s="224">
        <v>0</v>
      </c>
      <c r="X68" s="219">
        <f t="shared" si="2"/>
        <v>2</v>
      </c>
      <c r="Y68" s="225">
        <v>2</v>
      </c>
      <c r="Z68" s="247" t="e">
        <f>VLOOKUP($D68,#REF!, Z$1-21, FALSE)*S68</f>
        <v>#REF!</v>
      </c>
      <c r="AA68" s="218" t="e">
        <f>VLOOKUP($D68,#REF!, AA$1-21, FALSE)*T68</f>
        <v>#REF!</v>
      </c>
      <c r="AB68" s="218" t="e">
        <f>VLOOKUP($D68,#REF!, AB$1-21, FALSE)*U68</f>
        <v>#REF!</v>
      </c>
      <c r="AC68" s="218" t="e">
        <f>VLOOKUP($D68,#REF!, AC$1-21, FALSE)*V68</f>
        <v>#REF!</v>
      </c>
      <c r="AD68" s="218" t="e">
        <f>VLOOKUP($D68,#REF!, AD$1-21, FALSE)*W68</f>
        <v>#REF!</v>
      </c>
      <c r="AE68" s="219" t="e">
        <f t="shared" si="7"/>
        <v>#REF!</v>
      </c>
      <c r="AF68" s="248" t="e">
        <f>VLOOKUP($D68,#REF!, AF$1-22, FALSE)*Y68</f>
        <v>#REF!</v>
      </c>
      <c r="AG68" s="223" t="e">
        <f t="shared" si="3"/>
        <v>#REF!</v>
      </c>
      <c r="AH68" s="224" t="e">
        <f t="shared" si="4"/>
        <v>#REF!</v>
      </c>
      <c r="AI68" s="225" t="e">
        <f t="shared" si="5"/>
        <v>#REF!</v>
      </c>
      <c r="AJ68" s="137">
        <v>204436</v>
      </c>
      <c r="AK68" s="150" t="e">
        <f t="shared" si="6"/>
        <v>#REF!</v>
      </c>
      <c r="AL68" s="111" t="e">
        <f>VLOOKUP($D68,#REF!,9,FALSE)-AG68</f>
        <v>#REF!</v>
      </c>
      <c r="AM68" s="111" t="e">
        <f>VLOOKUP($D68,#REF!,10,FALSE)-AH68</f>
        <v>#REF!</v>
      </c>
    </row>
    <row r="69" spans="1:39" x14ac:dyDescent="0.3">
      <c r="A69" s="102">
        <v>66</v>
      </c>
      <c r="B69" s="103" t="s">
        <v>378</v>
      </c>
      <c r="C69" s="93" t="s">
        <v>182</v>
      </c>
      <c r="D69" s="94" t="s">
        <v>183</v>
      </c>
      <c r="E69" s="223">
        <v>0</v>
      </c>
      <c r="F69" s="224">
        <v>0</v>
      </c>
      <c r="G69" s="224">
        <v>1</v>
      </c>
      <c r="H69" s="224">
        <v>0</v>
      </c>
      <c r="I69" s="224">
        <v>0</v>
      </c>
      <c r="J69" s="219">
        <f t="shared" ref="J69:J123" si="8">SUM(E69:I69)</f>
        <v>1</v>
      </c>
      <c r="K69" s="225">
        <v>2</v>
      </c>
      <c r="L69" s="221">
        <v>0</v>
      </c>
      <c r="M69" s="222">
        <v>0</v>
      </c>
      <c r="N69" s="222">
        <v>0</v>
      </c>
      <c r="O69" s="222">
        <v>0</v>
      </c>
      <c r="P69" s="222">
        <v>0</v>
      </c>
      <c r="Q69" s="219">
        <f t="shared" ref="Q69:Q123" si="9">SUM(L69:P69)</f>
        <v>0</v>
      </c>
      <c r="R69" s="222">
        <v>0</v>
      </c>
      <c r="S69" s="223">
        <v>0</v>
      </c>
      <c r="T69" s="224">
        <v>0</v>
      </c>
      <c r="U69" s="224">
        <v>1</v>
      </c>
      <c r="V69" s="224">
        <v>0</v>
      </c>
      <c r="W69" s="224">
        <v>0</v>
      </c>
      <c r="X69" s="219">
        <f t="shared" ref="X69:X123" si="10">SUM(S69:W69)</f>
        <v>1</v>
      </c>
      <c r="Y69" s="225">
        <v>2</v>
      </c>
      <c r="Z69" s="247" t="e">
        <f>VLOOKUP($D69,#REF!, Z$1-21, FALSE)*S69</f>
        <v>#REF!</v>
      </c>
      <c r="AA69" s="218" t="e">
        <f>VLOOKUP($D69,#REF!, AA$1-21, FALSE)*T69</f>
        <v>#REF!</v>
      </c>
      <c r="AB69" s="218" t="e">
        <f>VLOOKUP($D69,#REF!, AB$1-21, FALSE)*U69</f>
        <v>#REF!</v>
      </c>
      <c r="AC69" s="218" t="e">
        <f>VLOOKUP($D69,#REF!, AC$1-21, FALSE)*V69</f>
        <v>#REF!</v>
      </c>
      <c r="AD69" s="218" t="e">
        <f>VLOOKUP($D69,#REF!, AD$1-21, FALSE)*W69</f>
        <v>#REF!</v>
      </c>
      <c r="AE69" s="219" t="e">
        <f t="shared" si="7"/>
        <v>#REF!</v>
      </c>
      <c r="AF69" s="248" t="e">
        <f>VLOOKUP($D69,#REF!, AF$1-22, FALSE)*Y69</f>
        <v>#REF!</v>
      </c>
      <c r="AG69" s="223" t="e">
        <f t="shared" ref="AG69:AG123" si="11">AE69</f>
        <v>#REF!</v>
      </c>
      <c r="AH69" s="224" t="e">
        <f t="shared" ref="AH69:AH123" si="12">AF69</f>
        <v>#REF!</v>
      </c>
      <c r="AI69" s="225" t="e">
        <f t="shared" ref="AI69:AI123" si="13">AG69+AH69</f>
        <v>#REF!</v>
      </c>
      <c r="AJ69" s="137">
        <v>230149</v>
      </c>
      <c r="AK69" s="150" t="e">
        <f t="shared" ref="AK69:AK128" si="14">AI69-AJ69</f>
        <v>#REF!</v>
      </c>
      <c r="AL69" s="111" t="e">
        <f>VLOOKUP($D69,#REF!,9,FALSE)-AG69</f>
        <v>#REF!</v>
      </c>
      <c r="AM69" s="111" t="e">
        <f>VLOOKUP($D69,#REF!,10,FALSE)-AH69</f>
        <v>#REF!</v>
      </c>
    </row>
    <row r="70" spans="1:39" x14ac:dyDescent="0.3">
      <c r="A70" s="102">
        <v>67</v>
      </c>
      <c r="B70" s="103" t="s">
        <v>394</v>
      </c>
      <c r="C70" s="93" t="s">
        <v>184</v>
      </c>
      <c r="D70" s="94" t="s">
        <v>185</v>
      </c>
      <c r="E70" s="223">
        <v>0</v>
      </c>
      <c r="F70" s="224">
        <v>0</v>
      </c>
      <c r="G70" s="224">
        <v>1</v>
      </c>
      <c r="H70" s="224">
        <v>0</v>
      </c>
      <c r="I70" s="224">
        <v>0</v>
      </c>
      <c r="J70" s="219">
        <f t="shared" si="8"/>
        <v>1</v>
      </c>
      <c r="K70" s="225">
        <v>2</v>
      </c>
      <c r="L70" s="221">
        <v>0</v>
      </c>
      <c r="M70" s="222">
        <v>0</v>
      </c>
      <c r="N70" s="222">
        <v>0</v>
      </c>
      <c r="O70" s="222">
        <v>0</v>
      </c>
      <c r="P70" s="222">
        <v>0</v>
      </c>
      <c r="Q70" s="219">
        <f t="shared" si="9"/>
        <v>0</v>
      </c>
      <c r="R70" s="222">
        <v>0</v>
      </c>
      <c r="S70" s="223">
        <v>0</v>
      </c>
      <c r="T70" s="224">
        <v>0</v>
      </c>
      <c r="U70" s="224">
        <v>1</v>
      </c>
      <c r="V70" s="224">
        <v>0</v>
      </c>
      <c r="W70" s="224">
        <v>0</v>
      </c>
      <c r="X70" s="219">
        <f t="shared" si="10"/>
        <v>1</v>
      </c>
      <c r="Y70" s="225">
        <v>2</v>
      </c>
      <c r="Z70" s="247" t="e">
        <f>VLOOKUP($D70,#REF!, Z$1-21, FALSE)*S70</f>
        <v>#REF!</v>
      </c>
      <c r="AA70" s="218" t="e">
        <f>VLOOKUP($D70,#REF!, AA$1-21, FALSE)*T70</f>
        <v>#REF!</v>
      </c>
      <c r="AB70" s="218" t="e">
        <f>VLOOKUP($D70,#REF!, AB$1-21, FALSE)*U70</f>
        <v>#REF!</v>
      </c>
      <c r="AC70" s="218" t="e">
        <f>VLOOKUP($D70,#REF!, AC$1-21, FALSE)*V70</f>
        <v>#REF!</v>
      </c>
      <c r="AD70" s="218" t="e">
        <f>VLOOKUP($D70,#REF!, AD$1-21, FALSE)*W70</f>
        <v>#REF!</v>
      </c>
      <c r="AE70" s="219" t="e">
        <f t="shared" si="7"/>
        <v>#REF!</v>
      </c>
      <c r="AF70" s="248" t="e">
        <f>VLOOKUP($D70,#REF!, AF$1-22, FALSE)*Y70</f>
        <v>#REF!</v>
      </c>
      <c r="AG70" s="223" t="e">
        <f t="shared" si="11"/>
        <v>#REF!</v>
      </c>
      <c r="AH70" s="224" t="e">
        <f t="shared" si="12"/>
        <v>#REF!</v>
      </c>
      <c r="AI70" s="225" t="e">
        <f t="shared" si="13"/>
        <v>#REF!</v>
      </c>
      <c r="AJ70" s="137">
        <v>599070</v>
      </c>
      <c r="AK70" s="150" t="e">
        <f t="shared" si="14"/>
        <v>#REF!</v>
      </c>
      <c r="AL70" s="111" t="e">
        <f>VLOOKUP($D70,#REF!,9,FALSE)-AG70</f>
        <v>#REF!</v>
      </c>
      <c r="AM70" s="111" t="e">
        <f>VLOOKUP($D70,#REF!,10,FALSE)-AH70</f>
        <v>#REF!</v>
      </c>
    </row>
    <row r="71" spans="1:39" x14ac:dyDescent="0.3">
      <c r="A71" s="102">
        <v>68</v>
      </c>
      <c r="B71" s="103" t="s">
        <v>186</v>
      </c>
      <c r="C71" s="93" t="s">
        <v>187</v>
      </c>
      <c r="D71" s="94" t="s">
        <v>188</v>
      </c>
      <c r="E71" s="223">
        <v>0</v>
      </c>
      <c r="F71" s="224">
        <v>1</v>
      </c>
      <c r="G71" s="224">
        <v>2</v>
      </c>
      <c r="H71" s="224">
        <v>1</v>
      </c>
      <c r="I71" s="224">
        <v>0</v>
      </c>
      <c r="J71" s="219">
        <f t="shared" si="8"/>
        <v>4</v>
      </c>
      <c r="K71" s="225">
        <v>3</v>
      </c>
      <c r="L71" s="221">
        <v>0</v>
      </c>
      <c r="M71" s="222">
        <v>0</v>
      </c>
      <c r="N71" s="222">
        <v>1</v>
      </c>
      <c r="O71" s="222">
        <v>0</v>
      </c>
      <c r="P71" s="222">
        <v>0</v>
      </c>
      <c r="Q71" s="219">
        <f t="shared" si="9"/>
        <v>1</v>
      </c>
      <c r="R71" s="222">
        <v>-1</v>
      </c>
      <c r="S71" s="223">
        <v>0</v>
      </c>
      <c r="T71" s="224">
        <v>1</v>
      </c>
      <c r="U71" s="224">
        <v>3</v>
      </c>
      <c r="V71" s="224">
        <v>1</v>
      </c>
      <c r="W71" s="224">
        <v>0</v>
      </c>
      <c r="X71" s="219">
        <f t="shared" si="10"/>
        <v>5</v>
      </c>
      <c r="Y71" s="225">
        <v>2</v>
      </c>
      <c r="Z71" s="247" t="e">
        <f>VLOOKUP($D71,#REF!, Z$1-21, FALSE)*S71</f>
        <v>#REF!</v>
      </c>
      <c r="AA71" s="218" t="e">
        <f>VLOOKUP($D71,#REF!, AA$1-21, FALSE)*T71</f>
        <v>#REF!</v>
      </c>
      <c r="AB71" s="218" t="e">
        <f>VLOOKUP($D71,#REF!, AB$1-21, FALSE)*U71</f>
        <v>#REF!</v>
      </c>
      <c r="AC71" s="218" t="e">
        <f>VLOOKUP($D71,#REF!, AC$1-21, FALSE)*V71</f>
        <v>#REF!</v>
      </c>
      <c r="AD71" s="218" t="e">
        <f>VLOOKUP($D71,#REF!, AD$1-21, FALSE)*W71</f>
        <v>#REF!</v>
      </c>
      <c r="AE71" s="219" t="e">
        <f t="shared" si="7"/>
        <v>#REF!</v>
      </c>
      <c r="AF71" s="248" t="e">
        <f>VLOOKUP($D71,#REF!, AF$1-22, FALSE)*Y71</f>
        <v>#REF!</v>
      </c>
      <c r="AG71" s="223" t="e">
        <f t="shared" si="11"/>
        <v>#REF!</v>
      </c>
      <c r="AH71" s="224" t="e">
        <f t="shared" si="12"/>
        <v>#REF!</v>
      </c>
      <c r="AI71" s="225" t="e">
        <f t="shared" si="13"/>
        <v>#REF!</v>
      </c>
      <c r="AJ71" s="137">
        <v>239926</v>
      </c>
      <c r="AK71" s="150" t="e">
        <f t="shared" si="14"/>
        <v>#REF!</v>
      </c>
      <c r="AL71" s="111" t="e">
        <f>VLOOKUP($D71,#REF!,9,FALSE)-AG71</f>
        <v>#REF!</v>
      </c>
      <c r="AM71" s="111" t="e">
        <f>VLOOKUP($D71,#REF!,10,FALSE)-AH71</f>
        <v>#REF!</v>
      </c>
    </row>
    <row r="72" spans="1:39" x14ac:dyDescent="0.3">
      <c r="A72" s="102">
        <v>69</v>
      </c>
      <c r="B72" s="103" t="s">
        <v>379</v>
      </c>
      <c r="C72" s="93" t="s">
        <v>189</v>
      </c>
      <c r="D72" s="94" t="s">
        <v>190</v>
      </c>
      <c r="E72" s="223">
        <v>0</v>
      </c>
      <c r="F72" s="224">
        <v>0</v>
      </c>
      <c r="G72" s="224">
        <v>1</v>
      </c>
      <c r="H72" s="224">
        <v>0</v>
      </c>
      <c r="I72" s="224">
        <v>0</v>
      </c>
      <c r="J72" s="219">
        <f t="shared" si="8"/>
        <v>1</v>
      </c>
      <c r="K72" s="225">
        <v>2</v>
      </c>
      <c r="L72" s="221">
        <v>0</v>
      </c>
      <c r="M72" s="222">
        <v>0</v>
      </c>
      <c r="N72" s="222">
        <v>0</v>
      </c>
      <c r="O72" s="222">
        <v>0</v>
      </c>
      <c r="P72" s="222">
        <v>0</v>
      </c>
      <c r="Q72" s="219">
        <f t="shared" si="9"/>
        <v>0</v>
      </c>
      <c r="R72" s="222">
        <v>0</v>
      </c>
      <c r="S72" s="223">
        <v>0</v>
      </c>
      <c r="T72" s="224">
        <v>0</v>
      </c>
      <c r="U72" s="224">
        <v>1</v>
      </c>
      <c r="V72" s="224">
        <v>0</v>
      </c>
      <c r="W72" s="224">
        <v>0</v>
      </c>
      <c r="X72" s="219">
        <f t="shared" si="10"/>
        <v>1</v>
      </c>
      <c r="Y72" s="225">
        <v>2</v>
      </c>
      <c r="Z72" s="247" t="e">
        <f>VLOOKUP($D72,#REF!, Z$1-21, FALSE)*S72</f>
        <v>#REF!</v>
      </c>
      <c r="AA72" s="218" t="e">
        <f>VLOOKUP($D72,#REF!, AA$1-21, FALSE)*T72</f>
        <v>#REF!</v>
      </c>
      <c r="AB72" s="218" t="e">
        <f>VLOOKUP($D72,#REF!, AB$1-21, FALSE)*U72</f>
        <v>#REF!</v>
      </c>
      <c r="AC72" s="218" t="e">
        <f>VLOOKUP($D72,#REF!, AC$1-21, FALSE)*V72</f>
        <v>#REF!</v>
      </c>
      <c r="AD72" s="218" t="e">
        <f>VLOOKUP($D72,#REF!, AD$1-21, FALSE)*W72</f>
        <v>#REF!</v>
      </c>
      <c r="AE72" s="219" t="e">
        <f t="shared" ref="AE72:AE123" si="15">SUM(Z72:AD72)</f>
        <v>#REF!</v>
      </c>
      <c r="AF72" s="248" t="e">
        <f>VLOOKUP($D72,#REF!, AF$1-22, FALSE)*Y72</f>
        <v>#REF!</v>
      </c>
      <c r="AG72" s="223" t="e">
        <f t="shared" si="11"/>
        <v>#REF!</v>
      </c>
      <c r="AH72" s="224" t="e">
        <f t="shared" si="12"/>
        <v>#REF!</v>
      </c>
      <c r="AI72" s="225" t="e">
        <f t="shared" si="13"/>
        <v>#REF!</v>
      </c>
      <c r="AJ72" s="137">
        <v>432107</v>
      </c>
      <c r="AK72" s="150" t="e">
        <f t="shared" si="14"/>
        <v>#REF!</v>
      </c>
      <c r="AL72" s="111" t="e">
        <f>VLOOKUP($D72,#REF!,9,FALSE)-AG72</f>
        <v>#REF!</v>
      </c>
      <c r="AM72" s="111" t="e">
        <f>VLOOKUP($D72,#REF!,10,FALSE)-AH72</f>
        <v>#REF!</v>
      </c>
    </row>
    <row r="73" spans="1:39" x14ac:dyDescent="0.3">
      <c r="A73" s="102">
        <v>70</v>
      </c>
      <c r="B73" s="103" t="s">
        <v>191</v>
      </c>
      <c r="C73" s="93" t="s">
        <v>192</v>
      </c>
      <c r="D73" s="94" t="s">
        <v>193</v>
      </c>
      <c r="E73" s="223">
        <v>0</v>
      </c>
      <c r="F73" s="224">
        <v>0</v>
      </c>
      <c r="G73" s="224">
        <v>1</v>
      </c>
      <c r="H73" s="224">
        <v>0</v>
      </c>
      <c r="I73" s="224">
        <v>0</v>
      </c>
      <c r="J73" s="219">
        <f t="shared" si="8"/>
        <v>1</v>
      </c>
      <c r="K73" s="225">
        <v>2</v>
      </c>
      <c r="L73" s="221">
        <v>0</v>
      </c>
      <c r="M73" s="222">
        <v>0</v>
      </c>
      <c r="N73" s="222">
        <v>0</v>
      </c>
      <c r="O73" s="222">
        <v>0</v>
      </c>
      <c r="P73" s="222">
        <v>0</v>
      </c>
      <c r="Q73" s="219">
        <f t="shared" si="9"/>
        <v>0</v>
      </c>
      <c r="R73" s="222">
        <v>0</v>
      </c>
      <c r="S73" s="223">
        <v>0</v>
      </c>
      <c r="T73" s="224">
        <v>0</v>
      </c>
      <c r="U73" s="224">
        <v>1</v>
      </c>
      <c r="V73" s="224">
        <v>0</v>
      </c>
      <c r="W73" s="224">
        <v>0</v>
      </c>
      <c r="X73" s="219">
        <f t="shared" si="10"/>
        <v>1</v>
      </c>
      <c r="Y73" s="225">
        <v>2</v>
      </c>
      <c r="Z73" s="247" t="e">
        <f>VLOOKUP($D73,#REF!, Z$1-21, FALSE)*S73</f>
        <v>#REF!</v>
      </c>
      <c r="AA73" s="218" t="e">
        <f>VLOOKUP($D73,#REF!, AA$1-21, FALSE)*T73</f>
        <v>#REF!</v>
      </c>
      <c r="AB73" s="218" t="e">
        <f>VLOOKUP($D73,#REF!, AB$1-21, FALSE)*U73</f>
        <v>#REF!</v>
      </c>
      <c r="AC73" s="218" t="e">
        <f>VLOOKUP($D73,#REF!, AC$1-21, FALSE)*V73</f>
        <v>#REF!</v>
      </c>
      <c r="AD73" s="218" t="e">
        <f>VLOOKUP($D73,#REF!, AD$1-21, FALSE)*W73</f>
        <v>#REF!</v>
      </c>
      <c r="AE73" s="219" t="e">
        <f t="shared" si="15"/>
        <v>#REF!</v>
      </c>
      <c r="AF73" s="248" t="e">
        <f>VLOOKUP($D73,#REF!, AF$1-22, FALSE)*Y73</f>
        <v>#REF!</v>
      </c>
      <c r="AG73" s="223" t="e">
        <f t="shared" si="11"/>
        <v>#REF!</v>
      </c>
      <c r="AH73" s="224" t="e">
        <f t="shared" si="12"/>
        <v>#REF!</v>
      </c>
      <c r="AI73" s="225" t="e">
        <f t="shared" si="13"/>
        <v>#REF!</v>
      </c>
      <c r="AJ73" s="137">
        <v>260201</v>
      </c>
      <c r="AK73" s="150" t="e">
        <f t="shared" si="14"/>
        <v>#REF!</v>
      </c>
      <c r="AL73" s="111" t="e">
        <f>VLOOKUP($D73,#REF!,9,FALSE)-AG73</f>
        <v>#REF!</v>
      </c>
      <c r="AM73" s="111" t="e">
        <f>VLOOKUP($D73,#REF!,10,FALSE)-AH73</f>
        <v>#REF!</v>
      </c>
    </row>
    <row r="74" spans="1:39" x14ac:dyDescent="0.3">
      <c r="A74" s="273">
        <v>71</v>
      </c>
      <c r="B74" s="274" t="s">
        <v>499</v>
      </c>
      <c r="C74" s="275" t="s">
        <v>521</v>
      </c>
      <c r="D74" s="276" t="s">
        <v>345</v>
      </c>
      <c r="E74" s="277">
        <v>0</v>
      </c>
      <c r="F74" s="278">
        <v>0</v>
      </c>
      <c r="G74" s="278">
        <v>0</v>
      </c>
      <c r="H74" s="278">
        <v>0</v>
      </c>
      <c r="I74" s="278">
        <v>0</v>
      </c>
      <c r="J74" s="279">
        <f t="shared" si="8"/>
        <v>0</v>
      </c>
      <c r="K74" s="280">
        <v>0</v>
      </c>
      <c r="L74" s="281">
        <v>0</v>
      </c>
      <c r="M74" s="279">
        <v>0</v>
      </c>
      <c r="N74" s="279">
        <v>0</v>
      </c>
      <c r="O74" s="279">
        <v>0</v>
      </c>
      <c r="P74" s="279">
        <v>0</v>
      </c>
      <c r="Q74" s="279">
        <f t="shared" si="9"/>
        <v>0</v>
      </c>
      <c r="R74" s="279">
        <v>0</v>
      </c>
      <c r="S74" s="277">
        <v>0</v>
      </c>
      <c r="T74" s="278">
        <v>0</v>
      </c>
      <c r="U74" s="278">
        <v>0</v>
      </c>
      <c r="V74" s="278">
        <v>0</v>
      </c>
      <c r="W74" s="278">
        <v>0</v>
      </c>
      <c r="X74" s="279">
        <f t="shared" si="10"/>
        <v>0</v>
      </c>
      <c r="Y74" s="280">
        <v>1</v>
      </c>
      <c r="Z74" s="282" t="e">
        <f>VLOOKUP($D74,#REF!, Z$1-21, FALSE)*S74</f>
        <v>#REF!</v>
      </c>
      <c r="AA74" s="283" t="e">
        <f>VLOOKUP($D74,#REF!, AA$1-21, FALSE)*T74</f>
        <v>#REF!</v>
      </c>
      <c r="AB74" s="283" t="e">
        <f>VLOOKUP($D74,#REF!, AB$1-21, FALSE)*U74</f>
        <v>#REF!</v>
      </c>
      <c r="AC74" s="283" t="e">
        <f>VLOOKUP($D74,#REF!, AC$1-21, FALSE)*V74</f>
        <v>#REF!</v>
      </c>
      <c r="AD74" s="283" t="e">
        <f>VLOOKUP($D74,#REF!, AD$1-21, FALSE)*W74</f>
        <v>#REF!</v>
      </c>
      <c r="AE74" s="279" t="e">
        <f t="shared" si="15"/>
        <v>#REF!</v>
      </c>
      <c r="AF74" s="284" t="e">
        <f>VLOOKUP($D74,#REF!, AF$1-22, FALSE)*Y74</f>
        <v>#REF!</v>
      </c>
      <c r="AG74" s="277" t="e">
        <f t="shared" si="11"/>
        <v>#REF!</v>
      </c>
      <c r="AH74" s="278" t="e">
        <f t="shared" si="12"/>
        <v>#REF!</v>
      </c>
      <c r="AI74" s="280" t="e">
        <f t="shared" si="13"/>
        <v>#REF!</v>
      </c>
      <c r="AK74" s="150"/>
      <c r="AL74" s="111" t="s">
        <v>522</v>
      </c>
      <c r="AM74" s="111"/>
    </row>
    <row r="75" spans="1:39" x14ac:dyDescent="0.3">
      <c r="A75" s="102">
        <v>72</v>
      </c>
      <c r="B75" s="103" t="s">
        <v>395</v>
      </c>
      <c r="C75" s="93" t="s">
        <v>194</v>
      </c>
      <c r="D75" s="94" t="s">
        <v>195</v>
      </c>
      <c r="E75" s="223">
        <v>0</v>
      </c>
      <c r="F75" s="224">
        <v>0</v>
      </c>
      <c r="G75" s="224">
        <v>1</v>
      </c>
      <c r="H75" s="224">
        <v>0</v>
      </c>
      <c r="I75" s="224">
        <v>0</v>
      </c>
      <c r="J75" s="219">
        <f t="shared" si="8"/>
        <v>1</v>
      </c>
      <c r="K75" s="225">
        <v>2</v>
      </c>
      <c r="L75" s="221">
        <v>0</v>
      </c>
      <c r="M75" s="222">
        <v>0</v>
      </c>
      <c r="N75" s="222">
        <v>-1</v>
      </c>
      <c r="O75" s="222">
        <v>0</v>
      </c>
      <c r="P75" s="222">
        <v>0</v>
      </c>
      <c r="Q75" s="219">
        <f t="shared" si="9"/>
        <v>-1</v>
      </c>
      <c r="R75" s="222">
        <v>1</v>
      </c>
      <c r="S75" s="223">
        <v>0</v>
      </c>
      <c r="T75" s="224">
        <v>0</v>
      </c>
      <c r="U75" s="224">
        <v>0</v>
      </c>
      <c r="V75" s="224">
        <v>0</v>
      </c>
      <c r="W75" s="224">
        <v>0</v>
      </c>
      <c r="X75" s="219">
        <f t="shared" si="10"/>
        <v>0</v>
      </c>
      <c r="Y75" s="225">
        <v>3</v>
      </c>
      <c r="Z75" s="247" t="e">
        <f>VLOOKUP($D75,#REF!, Z$1-21, FALSE)*S75</f>
        <v>#REF!</v>
      </c>
      <c r="AA75" s="218" t="e">
        <f>VLOOKUP($D75,#REF!, AA$1-21, FALSE)*T75</f>
        <v>#REF!</v>
      </c>
      <c r="AB75" s="218" t="e">
        <f>VLOOKUP($D75,#REF!, AB$1-21, FALSE)*U75</f>
        <v>#REF!</v>
      </c>
      <c r="AC75" s="218" t="e">
        <f>VLOOKUP($D75,#REF!, AC$1-21, FALSE)*V75</f>
        <v>#REF!</v>
      </c>
      <c r="AD75" s="218" t="e">
        <f>VLOOKUP($D75,#REF!, AD$1-21, FALSE)*W75</f>
        <v>#REF!</v>
      </c>
      <c r="AE75" s="219" t="e">
        <f t="shared" si="15"/>
        <v>#REF!</v>
      </c>
      <c r="AF75" s="248" t="e">
        <f>VLOOKUP($D75,#REF!, AF$1-22, FALSE)*Y75</f>
        <v>#REF!</v>
      </c>
      <c r="AG75" s="223" t="e">
        <f t="shared" si="11"/>
        <v>#REF!</v>
      </c>
      <c r="AH75" s="224" t="e">
        <f t="shared" si="12"/>
        <v>#REF!</v>
      </c>
      <c r="AI75" s="225" t="e">
        <f t="shared" si="13"/>
        <v>#REF!</v>
      </c>
      <c r="AJ75" s="137">
        <v>269001</v>
      </c>
      <c r="AK75" s="150" t="e">
        <f t="shared" si="14"/>
        <v>#REF!</v>
      </c>
      <c r="AL75" s="111" t="e">
        <f>VLOOKUP($D75,#REF!,9,FALSE)-AG75</f>
        <v>#REF!</v>
      </c>
      <c r="AM75" s="111" t="e">
        <f>VLOOKUP($D75,#REF!,10,FALSE)-AH75</f>
        <v>#REF!</v>
      </c>
    </row>
    <row r="76" spans="1:39" x14ac:dyDescent="0.3">
      <c r="A76" s="102">
        <v>73</v>
      </c>
      <c r="B76" s="103" t="s">
        <v>405</v>
      </c>
      <c r="C76" s="93" t="s">
        <v>196</v>
      </c>
      <c r="D76" s="94" t="s">
        <v>197</v>
      </c>
      <c r="E76" s="223">
        <v>0</v>
      </c>
      <c r="F76" s="224">
        <v>0</v>
      </c>
      <c r="G76" s="224">
        <v>1</v>
      </c>
      <c r="H76" s="224">
        <v>0</v>
      </c>
      <c r="I76" s="224">
        <v>0</v>
      </c>
      <c r="J76" s="219">
        <f t="shared" si="8"/>
        <v>1</v>
      </c>
      <c r="K76" s="225">
        <v>2</v>
      </c>
      <c r="L76" s="221">
        <v>0</v>
      </c>
      <c r="M76" s="222">
        <v>0</v>
      </c>
      <c r="N76" s="222">
        <v>0</v>
      </c>
      <c r="O76" s="222">
        <v>0</v>
      </c>
      <c r="P76" s="222">
        <v>0</v>
      </c>
      <c r="Q76" s="219">
        <f t="shared" si="9"/>
        <v>0</v>
      </c>
      <c r="R76" s="222">
        <v>0</v>
      </c>
      <c r="S76" s="223">
        <v>0</v>
      </c>
      <c r="T76" s="224">
        <v>0</v>
      </c>
      <c r="U76" s="224">
        <v>1</v>
      </c>
      <c r="V76" s="224">
        <v>0</v>
      </c>
      <c r="W76" s="224">
        <v>0</v>
      </c>
      <c r="X76" s="219">
        <f t="shared" si="10"/>
        <v>1</v>
      </c>
      <c r="Y76" s="225">
        <v>2</v>
      </c>
      <c r="Z76" s="247" t="e">
        <f>VLOOKUP($D76,#REF!, Z$1-21, FALSE)*S76</f>
        <v>#REF!</v>
      </c>
      <c r="AA76" s="218" t="e">
        <f>VLOOKUP($D76,#REF!, AA$1-21, FALSE)*T76</f>
        <v>#REF!</v>
      </c>
      <c r="AB76" s="218" t="e">
        <f>VLOOKUP($D76,#REF!, AB$1-21, FALSE)*U76</f>
        <v>#REF!</v>
      </c>
      <c r="AC76" s="218" t="e">
        <f>VLOOKUP($D76,#REF!, AC$1-21, FALSE)*V76</f>
        <v>#REF!</v>
      </c>
      <c r="AD76" s="218" t="e">
        <f>VLOOKUP($D76,#REF!, AD$1-21, FALSE)*W76</f>
        <v>#REF!</v>
      </c>
      <c r="AE76" s="219" t="e">
        <f t="shared" si="15"/>
        <v>#REF!</v>
      </c>
      <c r="AF76" s="248" t="e">
        <f>VLOOKUP($D76,#REF!, AF$1-22, FALSE)*Y76</f>
        <v>#REF!</v>
      </c>
      <c r="AG76" s="223" t="e">
        <f t="shared" si="11"/>
        <v>#REF!</v>
      </c>
      <c r="AH76" s="224" t="e">
        <f t="shared" si="12"/>
        <v>#REF!</v>
      </c>
      <c r="AI76" s="225" t="e">
        <f t="shared" si="13"/>
        <v>#REF!</v>
      </c>
      <c r="AJ76" s="137">
        <v>323927</v>
      </c>
      <c r="AK76" s="150" t="e">
        <f t="shared" si="14"/>
        <v>#REF!</v>
      </c>
      <c r="AL76" s="111" t="e">
        <f>VLOOKUP($D76,#REF!,9,FALSE)-AG76</f>
        <v>#REF!</v>
      </c>
      <c r="AM76" s="111" t="e">
        <f>VLOOKUP($D76,#REF!,10,FALSE)-AH76</f>
        <v>#REF!</v>
      </c>
    </row>
    <row r="77" spans="1:39" x14ac:dyDescent="0.3">
      <c r="A77" s="102">
        <v>74</v>
      </c>
      <c r="B77" s="103" t="s">
        <v>198</v>
      </c>
      <c r="C77" s="93" t="s">
        <v>199</v>
      </c>
      <c r="D77" s="94" t="s">
        <v>200</v>
      </c>
      <c r="E77" s="223">
        <v>0</v>
      </c>
      <c r="F77" s="224">
        <v>0</v>
      </c>
      <c r="G77" s="224">
        <v>1</v>
      </c>
      <c r="H77" s="224">
        <v>0</v>
      </c>
      <c r="I77" s="224">
        <v>0</v>
      </c>
      <c r="J77" s="219">
        <f t="shared" si="8"/>
        <v>1</v>
      </c>
      <c r="K77" s="225">
        <v>2</v>
      </c>
      <c r="L77" s="221">
        <v>0</v>
      </c>
      <c r="M77" s="222">
        <v>0</v>
      </c>
      <c r="N77" s="222">
        <v>0</v>
      </c>
      <c r="O77" s="222">
        <v>0</v>
      </c>
      <c r="P77" s="222">
        <v>0</v>
      </c>
      <c r="Q77" s="219">
        <f t="shared" si="9"/>
        <v>0</v>
      </c>
      <c r="R77" s="222">
        <v>0</v>
      </c>
      <c r="S77" s="223">
        <v>0</v>
      </c>
      <c r="T77" s="224">
        <v>0</v>
      </c>
      <c r="U77" s="224">
        <v>1</v>
      </c>
      <c r="V77" s="224">
        <v>0</v>
      </c>
      <c r="W77" s="224">
        <v>0</v>
      </c>
      <c r="X77" s="219">
        <f t="shared" si="10"/>
        <v>1</v>
      </c>
      <c r="Y77" s="225">
        <v>2</v>
      </c>
      <c r="Z77" s="247" t="e">
        <f>VLOOKUP($D77,#REF!, Z$1-21, FALSE)*S77</f>
        <v>#REF!</v>
      </c>
      <c r="AA77" s="218" t="e">
        <f>VLOOKUP($D77,#REF!, AA$1-21, FALSE)*T77</f>
        <v>#REF!</v>
      </c>
      <c r="AB77" s="218" t="e">
        <f>VLOOKUP($D77,#REF!, AB$1-21, FALSE)*U77</f>
        <v>#REF!</v>
      </c>
      <c r="AC77" s="218" t="e">
        <f>VLOOKUP($D77,#REF!, AC$1-21, FALSE)*V77</f>
        <v>#REF!</v>
      </c>
      <c r="AD77" s="218" t="e">
        <f>VLOOKUP($D77,#REF!, AD$1-21, FALSE)*W77</f>
        <v>#REF!</v>
      </c>
      <c r="AE77" s="219" t="e">
        <f t="shared" si="15"/>
        <v>#REF!</v>
      </c>
      <c r="AF77" s="248" t="e">
        <f>VLOOKUP($D77,#REF!, AF$1-22, FALSE)*Y77</f>
        <v>#REF!</v>
      </c>
      <c r="AG77" s="223" t="e">
        <f t="shared" si="11"/>
        <v>#REF!</v>
      </c>
      <c r="AH77" s="224" t="e">
        <f t="shared" si="12"/>
        <v>#REF!</v>
      </c>
      <c r="AI77" s="225" t="e">
        <f t="shared" si="13"/>
        <v>#REF!</v>
      </c>
      <c r="AJ77" s="137">
        <v>241010</v>
      </c>
      <c r="AK77" s="150" t="e">
        <f t="shared" si="14"/>
        <v>#REF!</v>
      </c>
      <c r="AL77" s="111" t="e">
        <f>VLOOKUP($D77,#REF!,9,FALSE)-AG77</f>
        <v>#REF!</v>
      </c>
      <c r="AM77" s="111" t="e">
        <f>VLOOKUP($D77,#REF!,10,FALSE)-AH77</f>
        <v>#REF!</v>
      </c>
    </row>
    <row r="78" spans="1:39" x14ac:dyDescent="0.3">
      <c r="A78" s="102">
        <v>75</v>
      </c>
      <c r="B78" s="103" t="s">
        <v>396</v>
      </c>
      <c r="C78" s="93" t="s">
        <v>201</v>
      </c>
      <c r="D78" s="94" t="s">
        <v>202</v>
      </c>
      <c r="E78" s="223">
        <v>0</v>
      </c>
      <c r="F78" s="224">
        <v>0</v>
      </c>
      <c r="G78" s="224">
        <v>1</v>
      </c>
      <c r="H78" s="224">
        <v>0</v>
      </c>
      <c r="I78" s="224">
        <v>0</v>
      </c>
      <c r="J78" s="219">
        <f t="shared" si="8"/>
        <v>1</v>
      </c>
      <c r="K78" s="225">
        <v>2</v>
      </c>
      <c r="L78" s="221">
        <v>0</v>
      </c>
      <c r="M78" s="222">
        <v>0</v>
      </c>
      <c r="N78" s="222">
        <v>0</v>
      </c>
      <c r="O78" s="222">
        <v>0</v>
      </c>
      <c r="P78" s="222">
        <v>0</v>
      </c>
      <c r="Q78" s="219">
        <f t="shared" si="9"/>
        <v>0</v>
      </c>
      <c r="R78" s="222">
        <v>0</v>
      </c>
      <c r="S78" s="223">
        <v>0</v>
      </c>
      <c r="T78" s="224">
        <v>0</v>
      </c>
      <c r="U78" s="224">
        <v>1</v>
      </c>
      <c r="V78" s="224">
        <v>0</v>
      </c>
      <c r="W78" s="224">
        <v>0</v>
      </c>
      <c r="X78" s="219">
        <f t="shared" si="10"/>
        <v>1</v>
      </c>
      <c r="Y78" s="225">
        <v>2</v>
      </c>
      <c r="Z78" s="247" t="e">
        <f>VLOOKUP($D78,#REF!, Z$1-21, FALSE)*S78</f>
        <v>#REF!</v>
      </c>
      <c r="AA78" s="218" t="e">
        <f>VLOOKUP($D78,#REF!, AA$1-21, FALSE)*T78</f>
        <v>#REF!</v>
      </c>
      <c r="AB78" s="218" t="e">
        <f>VLOOKUP($D78,#REF!, AB$1-21, FALSE)*U78</f>
        <v>#REF!</v>
      </c>
      <c r="AC78" s="218" t="e">
        <f>VLOOKUP($D78,#REF!, AC$1-21, FALSE)*V78</f>
        <v>#REF!</v>
      </c>
      <c r="AD78" s="218" t="e">
        <f>VLOOKUP($D78,#REF!, AD$1-21, FALSE)*W78</f>
        <v>#REF!</v>
      </c>
      <c r="AE78" s="219" t="e">
        <f t="shared" si="15"/>
        <v>#REF!</v>
      </c>
      <c r="AF78" s="248" t="e">
        <f>VLOOKUP($D78,#REF!, AF$1-22, FALSE)*Y78</f>
        <v>#REF!</v>
      </c>
      <c r="AG78" s="223" t="e">
        <f t="shared" si="11"/>
        <v>#REF!</v>
      </c>
      <c r="AH78" s="224" t="e">
        <f t="shared" si="12"/>
        <v>#REF!</v>
      </c>
      <c r="AI78" s="225" t="e">
        <f t="shared" si="13"/>
        <v>#REF!</v>
      </c>
      <c r="AJ78" s="137">
        <v>83075</v>
      </c>
      <c r="AK78" s="150" t="e">
        <f t="shared" si="14"/>
        <v>#REF!</v>
      </c>
      <c r="AL78" s="111" t="e">
        <f>VLOOKUP($D78,#REF!,9,FALSE)-AG78</f>
        <v>#REF!</v>
      </c>
      <c r="AM78" s="111" t="e">
        <f>VLOOKUP($D78,#REF!,10,FALSE)-AH78</f>
        <v>#REF!</v>
      </c>
    </row>
    <row r="79" spans="1:39" x14ac:dyDescent="0.3">
      <c r="A79" s="102">
        <v>76</v>
      </c>
      <c r="B79" s="103" t="s">
        <v>203</v>
      </c>
      <c r="C79" s="93" t="s">
        <v>204</v>
      </c>
      <c r="D79" s="94" t="s">
        <v>205</v>
      </c>
      <c r="E79" s="223">
        <v>0</v>
      </c>
      <c r="F79" s="224">
        <v>0</v>
      </c>
      <c r="G79" s="224">
        <v>1</v>
      </c>
      <c r="H79" s="224">
        <v>0</v>
      </c>
      <c r="I79" s="224">
        <v>0</v>
      </c>
      <c r="J79" s="219">
        <f t="shared" si="8"/>
        <v>1</v>
      </c>
      <c r="K79" s="225">
        <v>1</v>
      </c>
      <c r="L79" s="221">
        <v>0</v>
      </c>
      <c r="M79" s="222">
        <v>0</v>
      </c>
      <c r="N79" s="222">
        <v>-1</v>
      </c>
      <c r="O79" s="222">
        <v>0</v>
      </c>
      <c r="P79" s="222">
        <v>0</v>
      </c>
      <c r="Q79" s="219">
        <f t="shared" si="9"/>
        <v>-1</v>
      </c>
      <c r="R79" s="222">
        <v>0</v>
      </c>
      <c r="S79" s="223">
        <v>0</v>
      </c>
      <c r="T79" s="224">
        <v>0</v>
      </c>
      <c r="U79" s="224">
        <v>0</v>
      </c>
      <c r="V79" s="224">
        <v>0</v>
      </c>
      <c r="W79" s="224">
        <v>0</v>
      </c>
      <c r="X79" s="219">
        <f t="shared" si="10"/>
        <v>0</v>
      </c>
      <c r="Y79" s="225">
        <v>1</v>
      </c>
      <c r="Z79" s="247" t="e">
        <f>VLOOKUP($D79,#REF!, Z$1-21, FALSE)*S79</f>
        <v>#REF!</v>
      </c>
      <c r="AA79" s="218" t="e">
        <f>VLOOKUP($D79,#REF!, AA$1-21, FALSE)*T79</f>
        <v>#REF!</v>
      </c>
      <c r="AB79" s="218" t="e">
        <f>VLOOKUP($D79,#REF!, AB$1-21, FALSE)*U79</f>
        <v>#REF!</v>
      </c>
      <c r="AC79" s="218" t="e">
        <f>VLOOKUP($D79,#REF!, AC$1-21, FALSE)*V79</f>
        <v>#REF!</v>
      </c>
      <c r="AD79" s="218" t="e">
        <f>VLOOKUP($D79,#REF!, AD$1-21, FALSE)*W79</f>
        <v>#REF!</v>
      </c>
      <c r="AE79" s="219" t="e">
        <f t="shared" si="15"/>
        <v>#REF!</v>
      </c>
      <c r="AF79" s="248" t="e">
        <f>VLOOKUP($D79,#REF!, AF$1-22, FALSE)*Y79</f>
        <v>#REF!</v>
      </c>
      <c r="AG79" s="223" t="e">
        <f t="shared" si="11"/>
        <v>#REF!</v>
      </c>
      <c r="AH79" s="224" t="e">
        <f t="shared" si="12"/>
        <v>#REF!</v>
      </c>
      <c r="AI79" s="225" t="e">
        <f t="shared" si="13"/>
        <v>#REF!</v>
      </c>
      <c r="AJ79" s="137">
        <v>452511</v>
      </c>
      <c r="AK79" s="150" t="e">
        <f t="shared" si="14"/>
        <v>#REF!</v>
      </c>
      <c r="AL79" s="111" t="e">
        <f>VLOOKUP($D79,#REF!,9,FALSE)-AG79</f>
        <v>#REF!</v>
      </c>
      <c r="AM79" s="111" t="e">
        <f>VLOOKUP($D79,#REF!,10,FALSE)-AH79</f>
        <v>#REF!</v>
      </c>
    </row>
    <row r="80" spans="1:39" x14ac:dyDescent="0.3">
      <c r="A80" s="102">
        <v>77</v>
      </c>
      <c r="B80" s="103" t="s">
        <v>397</v>
      </c>
      <c r="C80" s="93" t="s">
        <v>206</v>
      </c>
      <c r="D80" s="94" t="s">
        <v>207</v>
      </c>
      <c r="E80" s="223">
        <v>0</v>
      </c>
      <c r="F80" s="224">
        <v>0</v>
      </c>
      <c r="G80" s="224">
        <v>1</v>
      </c>
      <c r="H80" s="224">
        <v>1</v>
      </c>
      <c r="I80" s="224">
        <v>0</v>
      </c>
      <c r="J80" s="219">
        <f t="shared" si="8"/>
        <v>2</v>
      </c>
      <c r="K80" s="225">
        <v>4</v>
      </c>
      <c r="L80" s="221">
        <v>0</v>
      </c>
      <c r="M80" s="222">
        <v>0</v>
      </c>
      <c r="N80" s="222">
        <v>0</v>
      </c>
      <c r="O80" s="222">
        <v>0</v>
      </c>
      <c r="P80" s="222">
        <v>0</v>
      </c>
      <c r="Q80" s="219">
        <f t="shared" si="9"/>
        <v>0</v>
      </c>
      <c r="R80" s="222">
        <v>0</v>
      </c>
      <c r="S80" s="223">
        <v>0</v>
      </c>
      <c r="T80" s="224">
        <v>0</v>
      </c>
      <c r="U80" s="224">
        <v>1</v>
      </c>
      <c r="V80" s="224">
        <v>1</v>
      </c>
      <c r="W80" s="224">
        <v>0</v>
      </c>
      <c r="X80" s="219">
        <f t="shared" si="10"/>
        <v>2</v>
      </c>
      <c r="Y80" s="225">
        <v>4</v>
      </c>
      <c r="Z80" s="247" t="e">
        <f>VLOOKUP($D80,#REF!, Z$1-21, FALSE)*S80</f>
        <v>#REF!</v>
      </c>
      <c r="AA80" s="218" t="e">
        <f>VLOOKUP($D80,#REF!, AA$1-21, FALSE)*T80</f>
        <v>#REF!</v>
      </c>
      <c r="AB80" s="218" t="e">
        <f>VLOOKUP($D80,#REF!, AB$1-21, FALSE)*U80</f>
        <v>#REF!</v>
      </c>
      <c r="AC80" s="218" t="e">
        <f>VLOOKUP($D80,#REF!, AC$1-21, FALSE)*V80</f>
        <v>#REF!</v>
      </c>
      <c r="AD80" s="218" t="e">
        <f>VLOOKUP($D80,#REF!, AD$1-21, FALSE)*W80</f>
        <v>#REF!</v>
      </c>
      <c r="AE80" s="219" t="e">
        <f t="shared" si="15"/>
        <v>#REF!</v>
      </c>
      <c r="AF80" s="248" t="e">
        <f>VLOOKUP($D80,#REF!, AF$1-22, FALSE)*Y80</f>
        <v>#REF!</v>
      </c>
      <c r="AG80" s="223" t="e">
        <f t="shared" si="11"/>
        <v>#REF!</v>
      </c>
      <c r="AH80" s="224" t="e">
        <f t="shared" si="12"/>
        <v>#REF!</v>
      </c>
      <c r="AI80" s="225" t="e">
        <f t="shared" si="13"/>
        <v>#REF!</v>
      </c>
      <c r="AJ80" s="137">
        <v>226221</v>
      </c>
      <c r="AK80" s="150" t="e">
        <f t="shared" si="14"/>
        <v>#REF!</v>
      </c>
      <c r="AL80" s="111" t="e">
        <f>VLOOKUP($D80,#REF!,9,FALSE)-AG80</f>
        <v>#REF!</v>
      </c>
      <c r="AM80" s="111" t="e">
        <f>VLOOKUP($D80,#REF!,10,FALSE)-AH80</f>
        <v>#REF!</v>
      </c>
    </row>
    <row r="81" spans="1:39" x14ac:dyDescent="0.3">
      <c r="A81" s="102">
        <v>78</v>
      </c>
      <c r="B81" s="103" t="s">
        <v>359</v>
      </c>
      <c r="C81" s="108" t="s">
        <v>357</v>
      </c>
      <c r="D81" s="98" t="s">
        <v>358</v>
      </c>
      <c r="E81" s="223">
        <v>0</v>
      </c>
      <c r="F81" s="224">
        <v>0</v>
      </c>
      <c r="G81" s="224">
        <v>0</v>
      </c>
      <c r="H81" s="224">
        <v>0</v>
      </c>
      <c r="I81" s="224">
        <v>0</v>
      </c>
      <c r="J81" s="219">
        <f t="shared" si="8"/>
        <v>0</v>
      </c>
      <c r="K81" s="225">
        <v>0</v>
      </c>
      <c r="L81" s="221">
        <v>0</v>
      </c>
      <c r="M81" s="222">
        <v>0</v>
      </c>
      <c r="N81" s="222">
        <v>0</v>
      </c>
      <c r="O81" s="222">
        <v>0</v>
      </c>
      <c r="P81" s="222">
        <v>0</v>
      </c>
      <c r="Q81" s="219">
        <f t="shared" si="9"/>
        <v>0</v>
      </c>
      <c r="R81" s="222">
        <v>0</v>
      </c>
      <c r="S81" s="223"/>
      <c r="T81" s="224"/>
      <c r="U81" s="224"/>
      <c r="V81" s="224"/>
      <c r="W81" s="224"/>
      <c r="X81" s="219">
        <f t="shared" si="10"/>
        <v>0</v>
      </c>
      <c r="Y81" s="225"/>
      <c r="Z81" s="247"/>
      <c r="AA81" s="218"/>
      <c r="AB81" s="218"/>
      <c r="AC81" s="218"/>
      <c r="AD81" s="218"/>
      <c r="AE81" s="219">
        <f t="shared" si="15"/>
        <v>0</v>
      </c>
      <c r="AF81" s="248"/>
      <c r="AG81" s="223">
        <f t="shared" si="11"/>
        <v>0</v>
      </c>
      <c r="AH81" s="224">
        <f t="shared" si="12"/>
        <v>0</v>
      </c>
      <c r="AI81" s="225">
        <f t="shared" si="13"/>
        <v>0</v>
      </c>
      <c r="AJ81" s="137">
        <v>279194</v>
      </c>
      <c r="AK81" s="150">
        <f t="shared" si="14"/>
        <v>-279194</v>
      </c>
      <c r="AL81" s="111"/>
      <c r="AM81" s="111"/>
    </row>
    <row r="82" spans="1:39" x14ac:dyDescent="0.3">
      <c r="A82" s="102">
        <v>79</v>
      </c>
      <c r="B82" s="103" t="s">
        <v>208</v>
      </c>
      <c r="C82" s="93" t="s">
        <v>209</v>
      </c>
      <c r="D82" s="94" t="s">
        <v>210</v>
      </c>
      <c r="E82" s="223">
        <v>0</v>
      </c>
      <c r="F82" s="224">
        <v>0</v>
      </c>
      <c r="G82" s="224">
        <v>1</v>
      </c>
      <c r="H82" s="224">
        <v>0</v>
      </c>
      <c r="I82" s="224">
        <v>0</v>
      </c>
      <c r="J82" s="219">
        <f t="shared" si="8"/>
        <v>1</v>
      </c>
      <c r="K82" s="225">
        <v>2</v>
      </c>
      <c r="L82" s="221">
        <v>0</v>
      </c>
      <c r="M82" s="222">
        <v>0</v>
      </c>
      <c r="N82" s="222">
        <v>0</v>
      </c>
      <c r="O82" s="222">
        <v>0</v>
      </c>
      <c r="P82" s="222">
        <v>0</v>
      </c>
      <c r="Q82" s="219">
        <f t="shared" si="9"/>
        <v>0</v>
      </c>
      <c r="R82" s="222">
        <v>0</v>
      </c>
      <c r="S82" s="223">
        <v>0</v>
      </c>
      <c r="T82" s="224">
        <v>0</v>
      </c>
      <c r="U82" s="224">
        <v>1</v>
      </c>
      <c r="V82" s="224">
        <v>0</v>
      </c>
      <c r="W82" s="224">
        <v>0</v>
      </c>
      <c r="X82" s="219">
        <f t="shared" si="10"/>
        <v>1</v>
      </c>
      <c r="Y82" s="225">
        <v>2</v>
      </c>
      <c r="Z82" s="247" t="e">
        <f>VLOOKUP($D82,#REF!, Z$1-21, FALSE)*S82</f>
        <v>#REF!</v>
      </c>
      <c r="AA82" s="218" t="e">
        <f>VLOOKUP($D82,#REF!, AA$1-21, FALSE)*T82</f>
        <v>#REF!</v>
      </c>
      <c r="AB82" s="218" t="e">
        <f>VLOOKUP($D82,#REF!, AB$1-21, FALSE)*U82</f>
        <v>#REF!</v>
      </c>
      <c r="AC82" s="218" t="e">
        <f>VLOOKUP($D82,#REF!, AC$1-21, FALSE)*V82</f>
        <v>#REF!</v>
      </c>
      <c r="AD82" s="218" t="e">
        <f>VLOOKUP($D82,#REF!, AD$1-21, FALSE)*W82</f>
        <v>#REF!</v>
      </c>
      <c r="AE82" s="219" t="e">
        <f t="shared" si="15"/>
        <v>#REF!</v>
      </c>
      <c r="AF82" s="248" t="e">
        <f>VLOOKUP($D82,#REF!, AF$1-22, FALSE)*Y82</f>
        <v>#REF!</v>
      </c>
      <c r="AG82" s="223" t="e">
        <f t="shared" si="11"/>
        <v>#REF!</v>
      </c>
      <c r="AH82" s="224" t="e">
        <f t="shared" si="12"/>
        <v>#REF!</v>
      </c>
      <c r="AI82" s="225" t="e">
        <f t="shared" si="13"/>
        <v>#REF!</v>
      </c>
      <c r="AJ82" s="137">
        <v>1392825</v>
      </c>
      <c r="AK82" s="150" t="e">
        <f t="shared" si="14"/>
        <v>#REF!</v>
      </c>
      <c r="AL82" s="111" t="e">
        <f>VLOOKUP($D82,#REF!,9,FALSE)-AG82</f>
        <v>#REF!</v>
      </c>
      <c r="AM82" s="111" t="e">
        <f>VLOOKUP($D82,#REF!,10,FALSE)-AH82</f>
        <v>#REF!</v>
      </c>
    </row>
    <row r="83" spans="1:39" x14ac:dyDescent="0.3">
      <c r="A83" s="102">
        <v>80</v>
      </c>
      <c r="B83" s="103" t="s">
        <v>211</v>
      </c>
      <c r="C83" s="93" t="s">
        <v>212</v>
      </c>
      <c r="D83" s="94" t="s">
        <v>213</v>
      </c>
      <c r="E83" s="223">
        <v>0</v>
      </c>
      <c r="F83" s="224">
        <v>0</v>
      </c>
      <c r="G83" s="224">
        <v>1</v>
      </c>
      <c r="H83" s="224">
        <v>1</v>
      </c>
      <c r="I83" s="224">
        <v>0</v>
      </c>
      <c r="J83" s="219">
        <f t="shared" si="8"/>
        <v>2</v>
      </c>
      <c r="K83" s="225">
        <v>2</v>
      </c>
      <c r="L83" s="221">
        <v>0</v>
      </c>
      <c r="M83" s="222">
        <v>0</v>
      </c>
      <c r="N83" s="222">
        <v>0</v>
      </c>
      <c r="O83" s="222">
        <v>0</v>
      </c>
      <c r="P83" s="222">
        <v>0</v>
      </c>
      <c r="Q83" s="219">
        <f t="shared" si="9"/>
        <v>0</v>
      </c>
      <c r="R83" s="222">
        <v>0</v>
      </c>
      <c r="S83" s="223">
        <v>0</v>
      </c>
      <c r="T83" s="224">
        <v>0</v>
      </c>
      <c r="U83" s="224">
        <v>1</v>
      </c>
      <c r="V83" s="224">
        <v>1</v>
      </c>
      <c r="W83" s="224">
        <v>0</v>
      </c>
      <c r="X83" s="219">
        <f t="shared" si="10"/>
        <v>2</v>
      </c>
      <c r="Y83" s="225">
        <v>2</v>
      </c>
      <c r="Z83" s="247" t="e">
        <f>VLOOKUP($D83,#REF!, Z$1-21, FALSE)*S83</f>
        <v>#REF!</v>
      </c>
      <c r="AA83" s="218" t="e">
        <f>VLOOKUP($D83,#REF!, AA$1-21, FALSE)*T83</f>
        <v>#REF!</v>
      </c>
      <c r="AB83" s="218" t="e">
        <f>VLOOKUP($D83,#REF!, AB$1-21, FALSE)*U83</f>
        <v>#REF!</v>
      </c>
      <c r="AC83" s="218" t="e">
        <f>VLOOKUP($D83,#REF!, AC$1-21, FALSE)*V83</f>
        <v>#REF!</v>
      </c>
      <c r="AD83" s="218" t="e">
        <f>VLOOKUP($D83,#REF!, AD$1-21, FALSE)*W83</f>
        <v>#REF!</v>
      </c>
      <c r="AE83" s="219" t="e">
        <f t="shared" si="15"/>
        <v>#REF!</v>
      </c>
      <c r="AF83" s="248" t="e">
        <f>VLOOKUP($D83,#REF!, AF$1-22, FALSE)*Y83</f>
        <v>#REF!</v>
      </c>
      <c r="AG83" s="223" t="e">
        <f t="shared" si="11"/>
        <v>#REF!</v>
      </c>
      <c r="AH83" s="224" t="e">
        <f t="shared" si="12"/>
        <v>#REF!</v>
      </c>
      <c r="AI83" s="225" t="e">
        <f t="shared" si="13"/>
        <v>#REF!</v>
      </c>
      <c r="AJ83" s="137">
        <v>4825873</v>
      </c>
      <c r="AK83" s="150" t="e">
        <f t="shared" si="14"/>
        <v>#REF!</v>
      </c>
      <c r="AL83" s="111" t="e">
        <f>VLOOKUP($D83,#REF!,9,FALSE)-AG83</f>
        <v>#REF!</v>
      </c>
      <c r="AM83" s="111" t="e">
        <f>VLOOKUP($D83,#REF!,10,FALSE)-AH83</f>
        <v>#REF!</v>
      </c>
    </row>
    <row r="84" spans="1:39" x14ac:dyDescent="0.3">
      <c r="A84" s="102">
        <v>81</v>
      </c>
      <c r="B84" s="103" t="s">
        <v>380</v>
      </c>
      <c r="C84" s="93" t="s">
        <v>214</v>
      </c>
      <c r="D84" s="94" t="s">
        <v>215</v>
      </c>
      <c r="E84" s="223">
        <v>0</v>
      </c>
      <c r="F84" s="224">
        <v>1</v>
      </c>
      <c r="G84" s="224">
        <v>3</v>
      </c>
      <c r="H84" s="224">
        <v>2</v>
      </c>
      <c r="I84" s="224">
        <v>0</v>
      </c>
      <c r="J84" s="219">
        <f t="shared" si="8"/>
        <v>6</v>
      </c>
      <c r="K84" s="225">
        <v>6</v>
      </c>
      <c r="L84" s="221">
        <v>0</v>
      </c>
      <c r="M84" s="222">
        <v>0</v>
      </c>
      <c r="N84" s="222">
        <v>0</v>
      </c>
      <c r="O84" s="222">
        <v>1</v>
      </c>
      <c r="P84" s="222">
        <v>0</v>
      </c>
      <c r="Q84" s="219">
        <f t="shared" si="9"/>
        <v>1</v>
      </c>
      <c r="R84" s="222">
        <v>1</v>
      </c>
      <c r="S84" s="223">
        <v>0</v>
      </c>
      <c r="T84" s="224">
        <v>1</v>
      </c>
      <c r="U84" s="224">
        <v>3</v>
      </c>
      <c r="V84" s="224">
        <v>3</v>
      </c>
      <c r="W84" s="224">
        <v>0</v>
      </c>
      <c r="X84" s="219">
        <f t="shared" si="10"/>
        <v>7</v>
      </c>
      <c r="Y84" s="225">
        <v>7</v>
      </c>
      <c r="Z84" s="247" t="e">
        <f>VLOOKUP($D84,#REF!, Z$1-21, FALSE)*S84</f>
        <v>#REF!</v>
      </c>
      <c r="AA84" s="218" t="e">
        <f>VLOOKUP($D84,#REF!, AA$1-21, FALSE)*T84</f>
        <v>#REF!</v>
      </c>
      <c r="AB84" s="218" t="e">
        <f>VLOOKUP($D84,#REF!, AB$1-21, FALSE)*U84</f>
        <v>#REF!</v>
      </c>
      <c r="AC84" s="218" t="e">
        <f>VLOOKUP($D84,#REF!, AC$1-21, FALSE)*V84</f>
        <v>#REF!</v>
      </c>
      <c r="AD84" s="218" t="e">
        <f>VLOOKUP($D84,#REF!, AD$1-21, FALSE)*W84</f>
        <v>#REF!</v>
      </c>
      <c r="AE84" s="219" t="e">
        <f t="shared" si="15"/>
        <v>#REF!</v>
      </c>
      <c r="AF84" s="248" t="e">
        <f>VLOOKUP($D84,#REF!, AF$1-22, FALSE)*Y84</f>
        <v>#REF!</v>
      </c>
      <c r="AG84" s="223" t="e">
        <f t="shared" si="11"/>
        <v>#REF!</v>
      </c>
      <c r="AH84" s="224" t="e">
        <f t="shared" si="12"/>
        <v>#REF!</v>
      </c>
      <c r="AI84" s="225" t="e">
        <f t="shared" si="13"/>
        <v>#REF!</v>
      </c>
      <c r="AJ84" s="137">
        <v>324689</v>
      </c>
      <c r="AK84" s="150" t="e">
        <f t="shared" si="14"/>
        <v>#REF!</v>
      </c>
      <c r="AL84" s="111" t="e">
        <f>VLOOKUP($D84,#REF!,9,FALSE)-AG84</f>
        <v>#REF!</v>
      </c>
      <c r="AM84" s="111" t="e">
        <f>VLOOKUP($D84,#REF!,10,FALSE)-AH84</f>
        <v>#REF!</v>
      </c>
    </row>
    <row r="85" spans="1:39" x14ac:dyDescent="0.3">
      <c r="A85" s="102">
        <v>82</v>
      </c>
      <c r="B85" s="103" t="s">
        <v>216</v>
      </c>
      <c r="C85" s="93" t="s">
        <v>217</v>
      </c>
      <c r="D85" s="94" t="s">
        <v>218</v>
      </c>
      <c r="E85" s="223">
        <v>1</v>
      </c>
      <c r="F85" s="224">
        <v>1</v>
      </c>
      <c r="G85" s="224">
        <v>11</v>
      </c>
      <c r="H85" s="224">
        <v>7</v>
      </c>
      <c r="I85" s="224">
        <v>1</v>
      </c>
      <c r="J85" s="219">
        <f t="shared" si="8"/>
        <v>21</v>
      </c>
      <c r="K85" s="225">
        <v>20</v>
      </c>
      <c r="L85" s="221">
        <v>0</v>
      </c>
      <c r="M85" s="222">
        <v>0</v>
      </c>
      <c r="N85" s="222">
        <v>0</v>
      </c>
      <c r="O85" s="222">
        <v>-1</v>
      </c>
      <c r="P85" s="222">
        <v>-1</v>
      </c>
      <c r="Q85" s="219">
        <f t="shared" si="9"/>
        <v>-2</v>
      </c>
      <c r="R85" s="222">
        <v>0</v>
      </c>
      <c r="S85" s="223">
        <v>1</v>
      </c>
      <c r="T85" s="224">
        <v>1</v>
      </c>
      <c r="U85" s="224">
        <v>11</v>
      </c>
      <c r="V85" s="224">
        <v>6</v>
      </c>
      <c r="W85" s="224">
        <v>0</v>
      </c>
      <c r="X85" s="219">
        <f t="shared" si="10"/>
        <v>19</v>
      </c>
      <c r="Y85" s="225">
        <v>20</v>
      </c>
      <c r="Z85" s="247" t="e">
        <f>VLOOKUP($D85,#REF!, Z$1-21, FALSE)*S85</f>
        <v>#REF!</v>
      </c>
      <c r="AA85" s="218" t="e">
        <f>VLOOKUP($D85,#REF!, AA$1-21, FALSE)*T85</f>
        <v>#REF!</v>
      </c>
      <c r="AB85" s="218" t="e">
        <f>VLOOKUP($D85,#REF!, AB$1-21, FALSE)*U85</f>
        <v>#REF!</v>
      </c>
      <c r="AC85" s="218" t="e">
        <f>VLOOKUP($D85,#REF!, AC$1-21, FALSE)*V85</f>
        <v>#REF!</v>
      </c>
      <c r="AD85" s="218" t="e">
        <f>VLOOKUP($D85,#REF!, AD$1-21, FALSE)*W85</f>
        <v>#REF!</v>
      </c>
      <c r="AE85" s="219" t="e">
        <f t="shared" si="15"/>
        <v>#REF!</v>
      </c>
      <c r="AF85" s="248" t="e">
        <f>VLOOKUP($D85,#REF!, AF$1-22, FALSE)*Y85</f>
        <v>#REF!</v>
      </c>
      <c r="AG85" s="223" t="e">
        <f t="shared" si="11"/>
        <v>#REF!</v>
      </c>
      <c r="AH85" s="224" t="e">
        <f t="shared" si="12"/>
        <v>#REF!</v>
      </c>
      <c r="AI85" s="225" t="e">
        <f t="shared" si="13"/>
        <v>#REF!</v>
      </c>
      <c r="AJ85" s="137">
        <v>578028</v>
      </c>
      <c r="AK85" s="150" t="e">
        <f t="shared" si="14"/>
        <v>#REF!</v>
      </c>
      <c r="AL85" s="111" t="e">
        <f>VLOOKUP($D85,#REF!,9,FALSE)-AG85</f>
        <v>#REF!</v>
      </c>
      <c r="AM85" s="111" t="e">
        <f>VLOOKUP($D85,#REF!,10,FALSE)-AH85</f>
        <v>#REF!</v>
      </c>
    </row>
    <row r="86" spans="1:39" x14ac:dyDescent="0.3">
      <c r="A86" s="102">
        <v>83</v>
      </c>
      <c r="B86" s="103" t="s">
        <v>219</v>
      </c>
      <c r="C86" s="93" t="s">
        <v>220</v>
      </c>
      <c r="D86" s="94" t="s">
        <v>221</v>
      </c>
      <c r="E86" s="223">
        <v>0</v>
      </c>
      <c r="F86" s="224">
        <v>0</v>
      </c>
      <c r="G86" s="224">
        <v>2</v>
      </c>
      <c r="H86" s="224">
        <v>0</v>
      </c>
      <c r="I86" s="224">
        <v>0</v>
      </c>
      <c r="J86" s="219">
        <f t="shared" si="8"/>
        <v>2</v>
      </c>
      <c r="K86" s="225">
        <v>1</v>
      </c>
      <c r="L86" s="221">
        <v>0</v>
      </c>
      <c r="M86" s="222">
        <v>0</v>
      </c>
      <c r="N86" s="222">
        <v>0</v>
      </c>
      <c r="O86" s="222">
        <v>0</v>
      </c>
      <c r="P86" s="222">
        <v>0</v>
      </c>
      <c r="Q86" s="219">
        <f t="shared" si="9"/>
        <v>0</v>
      </c>
      <c r="R86" s="222">
        <v>1</v>
      </c>
      <c r="S86" s="223">
        <v>0</v>
      </c>
      <c r="T86" s="224">
        <v>0</v>
      </c>
      <c r="U86" s="224">
        <v>2</v>
      </c>
      <c r="V86" s="224">
        <v>0</v>
      </c>
      <c r="W86" s="224">
        <v>0</v>
      </c>
      <c r="X86" s="219">
        <f t="shared" si="10"/>
        <v>2</v>
      </c>
      <c r="Y86" s="225">
        <v>2</v>
      </c>
      <c r="Z86" s="247" t="e">
        <f>VLOOKUP($D86,#REF!, Z$1-21, FALSE)*S86</f>
        <v>#REF!</v>
      </c>
      <c r="AA86" s="218" t="e">
        <f>VLOOKUP($D86,#REF!, AA$1-21, FALSE)*T86</f>
        <v>#REF!</v>
      </c>
      <c r="AB86" s="218" t="e">
        <f>VLOOKUP($D86,#REF!, AB$1-21, FALSE)*U86</f>
        <v>#REF!</v>
      </c>
      <c r="AC86" s="218" t="e">
        <f>VLOOKUP($D86,#REF!, AC$1-21, FALSE)*V86</f>
        <v>#REF!</v>
      </c>
      <c r="AD86" s="218" t="e">
        <f>VLOOKUP($D86,#REF!, AD$1-21, FALSE)*W86</f>
        <v>#REF!</v>
      </c>
      <c r="AE86" s="219" t="e">
        <f t="shared" si="15"/>
        <v>#REF!</v>
      </c>
      <c r="AF86" s="248" t="e">
        <f>VLOOKUP($D86,#REF!, AF$1-22, FALSE)*Y86</f>
        <v>#REF!</v>
      </c>
      <c r="AG86" s="223" t="e">
        <f t="shared" si="11"/>
        <v>#REF!</v>
      </c>
      <c r="AH86" s="224" t="e">
        <f t="shared" si="12"/>
        <v>#REF!</v>
      </c>
      <c r="AI86" s="225" t="e">
        <f t="shared" si="13"/>
        <v>#REF!</v>
      </c>
      <c r="AJ86" s="137">
        <v>541969</v>
      </c>
      <c r="AK86" s="150" t="e">
        <f t="shared" si="14"/>
        <v>#REF!</v>
      </c>
      <c r="AL86" s="111" t="e">
        <f>VLOOKUP($D86,#REF!,9,FALSE)-AG86</f>
        <v>#REF!</v>
      </c>
      <c r="AM86" s="111" t="e">
        <f>VLOOKUP($D86,#REF!,10,FALSE)-AH86</f>
        <v>#REF!</v>
      </c>
    </row>
    <row r="87" spans="1:39" x14ac:dyDescent="0.3">
      <c r="A87" s="102">
        <v>84</v>
      </c>
      <c r="B87" s="103" t="s">
        <v>147</v>
      </c>
      <c r="C87" s="93" t="s">
        <v>148</v>
      </c>
      <c r="D87" s="94" t="s">
        <v>149</v>
      </c>
      <c r="E87" s="223">
        <v>0</v>
      </c>
      <c r="F87" s="224">
        <v>1</v>
      </c>
      <c r="G87" s="224">
        <v>3</v>
      </c>
      <c r="H87" s="224">
        <v>1</v>
      </c>
      <c r="I87" s="224">
        <v>1</v>
      </c>
      <c r="J87" s="219">
        <f t="shared" si="8"/>
        <v>6</v>
      </c>
      <c r="K87" s="225">
        <v>7</v>
      </c>
      <c r="L87" s="221">
        <v>0</v>
      </c>
      <c r="M87" s="222">
        <v>0</v>
      </c>
      <c r="N87" s="222">
        <v>0</v>
      </c>
      <c r="O87" s="222">
        <v>0</v>
      </c>
      <c r="P87" s="222">
        <v>0</v>
      </c>
      <c r="Q87" s="219">
        <f t="shared" si="9"/>
        <v>0</v>
      </c>
      <c r="R87" s="222">
        <v>-1</v>
      </c>
      <c r="S87" s="223">
        <v>0</v>
      </c>
      <c r="T87" s="224">
        <v>1</v>
      </c>
      <c r="U87" s="224">
        <v>3</v>
      </c>
      <c r="V87" s="224">
        <v>1</v>
      </c>
      <c r="W87" s="224">
        <v>1</v>
      </c>
      <c r="X87" s="219">
        <f t="shared" si="10"/>
        <v>6</v>
      </c>
      <c r="Y87" s="225">
        <v>6</v>
      </c>
      <c r="Z87" s="247" t="e">
        <f>VLOOKUP($D87,#REF!, Z$1-21, FALSE)*S87</f>
        <v>#REF!</v>
      </c>
      <c r="AA87" s="218" t="e">
        <f>VLOOKUP($D87,#REF!, AA$1-21, FALSE)*T87</f>
        <v>#REF!</v>
      </c>
      <c r="AB87" s="218" t="e">
        <f>VLOOKUP($D87,#REF!, AB$1-21, FALSE)*U87</f>
        <v>#REF!</v>
      </c>
      <c r="AC87" s="218" t="e">
        <f>VLOOKUP($D87,#REF!, AC$1-21, FALSE)*V87</f>
        <v>#REF!</v>
      </c>
      <c r="AD87" s="218" t="e">
        <f>VLOOKUP($D87,#REF!, AD$1-21, FALSE)*W87</f>
        <v>#REF!</v>
      </c>
      <c r="AE87" s="219" t="e">
        <f t="shared" si="15"/>
        <v>#REF!</v>
      </c>
      <c r="AF87" s="248" t="e">
        <f>VLOOKUP($D87,#REF!, AF$1-22, FALSE)*Y87</f>
        <v>#REF!</v>
      </c>
      <c r="AG87" s="223" t="e">
        <f t="shared" si="11"/>
        <v>#REF!</v>
      </c>
      <c r="AH87" s="224" t="e">
        <f t="shared" si="12"/>
        <v>#REF!</v>
      </c>
      <c r="AI87" s="225" t="e">
        <f t="shared" si="13"/>
        <v>#REF!</v>
      </c>
      <c r="AJ87" s="137">
        <v>714306</v>
      </c>
      <c r="AK87" s="150" t="e">
        <f t="shared" si="14"/>
        <v>#REF!</v>
      </c>
      <c r="AL87" s="111" t="e">
        <f>VLOOKUP($D87,#REF!,9,FALSE)-AG87</f>
        <v>#REF!</v>
      </c>
      <c r="AM87" s="111" t="e">
        <f>VLOOKUP($D87,#REF!,10,FALSE)-AH87</f>
        <v>#REF!</v>
      </c>
    </row>
    <row r="88" spans="1:39" x14ac:dyDescent="0.3">
      <c r="A88" s="102">
        <v>85</v>
      </c>
      <c r="B88" s="103" t="s">
        <v>222</v>
      </c>
      <c r="C88" s="93" t="s">
        <v>223</v>
      </c>
      <c r="D88" s="94" t="s">
        <v>224</v>
      </c>
      <c r="E88" s="223">
        <v>0</v>
      </c>
      <c r="F88" s="224">
        <v>0</v>
      </c>
      <c r="G88" s="224">
        <v>1</v>
      </c>
      <c r="H88" s="224">
        <v>1</v>
      </c>
      <c r="I88" s="224">
        <v>0</v>
      </c>
      <c r="J88" s="219">
        <f t="shared" si="8"/>
        <v>2</v>
      </c>
      <c r="K88" s="225">
        <v>3</v>
      </c>
      <c r="L88" s="221">
        <v>0</v>
      </c>
      <c r="M88" s="222">
        <v>0</v>
      </c>
      <c r="N88" s="222">
        <v>0</v>
      </c>
      <c r="O88" s="222">
        <v>0</v>
      </c>
      <c r="P88" s="222">
        <v>0</v>
      </c>
      <c r="Q88" s="219">
        <f t="shared" si="9"/>
        <v>0</v>
      </c>
      <c r="R88" s="222">
        <v>0</v>
      </c>
      <c r="S88" s="223">
        <v>0</v>
      </c>
      <c r="T88" s="224">
        <v>0</v>
      </c>
      <c r="U88" s="224">
        <v>1</v>
      </c>
      <c r="V88" s="224">
        <v>1</v>
      </c>
      <c r="W88" s="224">
        <v>0</v>
      </c>
      <c r="X88" s="219">
        <f t="shared" si="10"/>
        <v>2</v>
      </c>
      <c r="Y88" s="225">
        <v>3</v>
      </c>
      <c r="Z88" s="247" t="e">
        <f>VLOOKUP($D88,#REF!, Z$1-21, FALSE)*S88</f>
        <v>#REF!</v>
      </c>
      <c r="AA88" s="218" t="e">
        <f>VLOOKUP($D88,#REF!, AA$1-21, FALSE)*T88</f>
        <v>#REF!</v>
      </c>
      <c r="AB88" s="218" t="e">
        <f>VLOOKUP($D88,#REF!, AB$1-21, FALSE)*U88</f>
        <v>#REF!</v>
      </c>
      <c r="AC88" s="218" t="e">
        <f>VLOOKUP($D88,#REF!, AC$1-21, FALSE)*V88</f>
        <v>#REF!</v>
      </c>
      <c r="AD88" s="218" t="e">
        <f>VLOOKUP($D88,#REF!, AD$1-21, FALSE)*W88</f>
        <v>#REF!</v>
      </c>
      <c r="AE88" s="219" t="e">
        <f t="shared" si="15"/>
        <v>#REF!</v>
      </c>
      <c r="AF88" s="248" t="e">
        <f>VLOOKUP($D88,#REF!, AF$1-22, FALSE)*Y88</f>
        <v>#REF!</v>
      </c>
      <c r="AG88" s="223" t="e">
        <f t="shared" si="11"/>
        <v>#REF!</v>
      </c>
      <c r="AH88" s="224" t="e">
        <f t="shared" si="12"/>
        <v>#REF!</v>
      </c>
      <c r="AI88" s="225" t="e">
        <f t="shared" si="13"/>
        <v>#REF!</v>
      </c>
      <c r="AJ88" s="137">
        <v>491969</v>
      </c>
      <c r="AK88" s="150" t="e">
        <f t="shared" si="14"/>
        <v>#REF!</v>
      </c>
      <c r="AL88" s="111" t="e">
        <f>VLOOKUP($D88,#REF!,9,FALSE)-AG88</f>
        <v>#REF!</v>
      </c>
      <c r="AM88" s="111" t="e">
        <f>VLOOKUP($D88,#REF!,10,FALSE)-AH88</f>
        <v>#REF!</v>
      </c>
    </row>
    <row r="89" spans="1:39" x14ac:dyDescent="0.3">
      <c r="A89" s="102">
        <v>86</v>
      </c>
      <c r="B89" s="103" t="s">
        <v>225</v>
      </c>
      <c r="C89" s="93" t="s">
        <v>226</v>
      </c>
      <c r="D89" s="94" t="s">
        <v>227</v>
      </c>
      <c r="E89" s="223">
        <v>0</v>
      </c>
      <c r="F89" s="224">
        <v>0</v>
      </c>
      <c r="G89" s="224">
        <v>1</v>
      </c>
      <c r="H89" s="224">
        <v>1</v>
      </c>
      <c r="I89" s="224">
        <v>0</v>
      </c>
      <c r="J89" s="219">
        <f t="shared" si="8"/>
        <v>2</v>
      </c>
      <c r="K89" s="225">
        <v>3</v>
      </c>
      <c r="L89" s="221">
        <v>0</v>
      </c>
      <c r="M89" s="222">
        <v>0</v>
      </c>
      <c r="N89" s="222">
        <v>0</v>
      </c>
      <c r="O89" s="222">
        <v>-1</v>
      </c>
      <c r="P89" s="222">
        <v>0</v>
      </c>
      <c r="Q89" s="219">
        <f t="shared" si="9"/>
        <v>-1</v>
      </c>
      <c r="R89" s="222">
        <v>0</v>
      </c>
      <c r="S89" s="223">
        <v>0</v>
      </c>
      <c r="T89" s="224">
        <v>0</v>
      </c>
      <c r="U89" s="224">
        <v>1</v>
      </c>
      <c r="V89" s="224">
        <v>0</v>
      </c>
      <c r="W89" s="224">
        <v>0</v>
      </c>
      <c r="X89" s="219">
        <f t="shared" si="10"/>
        <v>1</v>
      </c>
      <c r="Y89" s="225">
        <v>3</v>
      </c>
      <c r="Z89" s="247" t="e">
        <f>VLOOKUP($D89,#REF!, Z$1-21, FALSE)*S89</f>
        <v>#REF!</v>
      </c>
      <c r="AA89" s="218" t="e">
        <f>VLOOKUP($D89,#REF!, AA$1-21, FALSE)*T89</f>
        <v>#REF!</v>
      </c>
      <c r="AB89" s="218" t="e">
        <f>VLOOKUP($D89,#REF!, AB$1-21, FALSE)*U89</f>
        <v>#REF!</v>
      </c>
      <c r="AC89" s="218" t="e">
        <f>VLOOKUP($D89,#REF!, AC$1-21, FALSE)*V89</f>
        <v>#REF!</v>
      </c>
      <c r="AD89" s="218" t="e">
        <f>VLOOKUP($D89,#REF!, AD$1-21, FALSE)*W89</f>
        <v>#REF!</v>
      </c>
      <c r="AE89" s="219" t="e">
        <f t="shared" si="15"/>
        <v>#REF!</v>
      </c>
      <c r="AF89" s="248" t="e">
        <f>VLOOKUP($D89,#REF!, AF$1-22, FALSE)*Y89</f>
        <v>#REF!</v>
      </c>
      <c r="AG89" s="223" t="e">
        <f t="shared" si="11"/>
        <v>#REF!</v>
      </c>
      <c r="AH89" s="224" t="e">
        <f t="shared" si="12"/>
        <v>#REF!</v>
      </c>
      <c r="AI89" s="225" t="e">
        <f t="shared" si="13"/>
        <v>#REF!</v>
      </c>
      <c r="AJ89" s="137">
        <v>204000</v>
      </c>
      <c r="AK89" s="150" t="e">
        <f t="shared" si="14"/>
        <v>#REF!</v>
      </c>
      <c r="AL89" s="111" t="e">
        <f>VLOOKUP($D89,#REF!,9,FALSE)-AG89</f>
        <v>#REF!</v>
      </c>
      <c r="AM89" s="111" t="e">
        <f>VLOOKUP($D89,#REF!,10,FALSE)-AH89</f>
        <v>#REF!</v>
      </c>
    </row>
    <row r="90" spans="1:39" x14ac:dyDescent="0.3">
      <c r="A90" s="102">
        <v>87</v>
      </c>
      <c r="B90" s="103" t="s">
        <v>398</v>
      </c>
      <c r="C90" s="93" t="s">
        <v>228</v>
      </c>
      <c r="D90" s="94" t="s">
        <v>229</v>
      </c>
      <c r="E90" s="223">
        <v>0</v>
      </c>
      <c r="F90" s="224">
        <v>0</v>
      </c>
      <c r="G90" s="224">
        <v>2</v>
      </c>
      <c r="H90" s="224">
        <v>2</v>
      </c>
      <c r="I90" s="224">
        <v>0</v>
      </c>
      <c r="J90" s="219">
        <f t="shared" si="8"/>
        <v>4</v>
      </c>
      <c r="K90" s="225">
        <v>4</v>
      </c>
      <c r="L90" s="221">
        <v>0</v>
      </c>
      <c r="M90" s="222">
        <v>0</v>
      </c>
      <c r="N90" s="222">
        <v>0</v>
      </c>
      <c r="O90" s="222">
        <v>0</v>
      </c>
      <c r="P90" s="222">
        <v>0</v>
      </c>
      <c r="Q90" s="219">
        <f t="shared" si="9"/>
        <v>0</v>
      </c>
      <c r="R90" s="222">
        <v>0</v>
      </c>
      <c r="S90" s="223">
        <v>0</v>
      </c>
      <c r="T90" s="224">
        <v>0</v>
      </c>
      <c r="U90" s="224">
        <v>2</v>
      </c>
      <c r="V90" s="224">
        <v>2</v>
      </c>
      <c r="W90" s="224">
        <v>0</v>
      </c>
      <c r="X90" s="219">
        <f t="shared" si="10"/>
        <v>4</v>
      </c>
      <c r="Y90" s="225">
        <v>4</v>
      </c>
      <c r="Z90" s="247" t="e">
        <f>VLOOKUP($D90,#REF!, Z$1-21, FALSE)*S90</f>
        <v>#REF!</v>
      </c>
      <c r="AA90" s="218" t="e">
        <f>VLOOKUP($D90,#REF!, AA$1-21, FALSE)*T90</f>
        <v>#REF!</v>
      </c>
      <c r="AB90" s="218" t="e">
        <f>VLOOKUP($D90,#REF!, AB$1-21, FALSE)*U90</f>
        <v>#REF!</v>
      </c>
      <c r="AC90" s="218" t="e">
        <f>VLOOKUP($D90,#REF!, AC$1-21, FALSE)*V90</f>
        <v>#REF!</v>
      </c>
      <c r="AD90" s="218" t="e">
        <f>VLOOKUP($D90,#REF!, AD$1-21, FALSE)*W90</f>
        <v>#REF!</v>
      </c>
      <c r="AE90" s="219" t="e">
        <f t="shared" si="15"/>
        <v>#REF!</v>
      </c>
      <c r="AF90" s="248" t="e">
        <f>VLOOKUP($D90,#REF!, AF$1-22, FALSE)*Y90</f>
        <v>#REF!</v>
      </c>
      <c r="AG90" s="223" t="e">
        <f t="shared" si="11"/>
        <v>#REF!</v>
      </c>
      <c r="AH90" s="224" t="e">
        <f t="shared" si="12"/>
        <v>#REF!</v>
      </c>
      <c r="AI90" s="225" t="e">
        <f t="shared" si="13"/>
        <v>#REF!</v>
      </c>
      <c r="AJ90" s="137">
        <v>450588</v>
      </c>
      <c r="AK90" s="150" t="e">
        <f t="shared" si="14"/>
        <v>#REF!</v>
      </c>
      <c r="AL90" s="111" t="e">
        <f>VLOOKUP($D90,#REF!,9,FALSE)-AG90</f>
        <v>#REF!</v>
      </c>
      <c r="AM90" s="111" t="e">
        <f>VLOOKUP($D90,#REF!,10,FALSE)-AH90</f>
        <v>#REF!</v>
      </c>
    </row>
    <row r="91" spans="1:39" x14ac:dyDescent="0.3">
      <c r="A91" s="102">
        <v>88</v>
      </c>
      <c r="B91" s="103" t="s">
        <v>295</v>
      </c>
      <c r="C91" s="93" t="s">
        <v>296</v>
      </c>
      <c r="D91" s="94" t="s">
        <v>297</v>
      </c>
      <c r="E91" s="223">
        <v>0</v>
      </c>
      <c r="F91" s="224">
        <v>1</v>
      </c>
      <c r="G91" s="224">
        <v>5</v>
      </c>
      <c r="H91" s="224">
        <v>3</v>
      </c>
      <c r="I91" s="224">
        <v>1</v>
      </c>
      <c r="J91" s="219">
        <f t="shared" si="8"/>
        <v>10</v>
      </c>
      <c r="K91" s="225">
        <v>7</v>
      </c>
      <c r="L91" s="221">
        <v>0</v>
      </c>
      <c r="M91" s="222">
        <v>0</v>
      </c>
      <c r="N91" s="222">
        <v>0</v>
      </c>
      <c r="O91" s="222">
        <v>0</v>
      </c>
      <c r="P91" s="222">
        <v>0</v>
      </c>
      <c r="Q91" s="219">
        <f t="shared" si="9"/>
        <v>0</v>
      </c>
      <c r="R91" s="222">
        <v>0</v>
      </c>
      <c r="S91" s="223">
        <v>0</v>
      </c>
      <c r="T91" s="224">
        <v>1</v>
      </c>
      <c r="U91" s="224">
        <v>5</v>
      </c>
      <c r="V91" s="224">
        <v>3</v>
      </c>
      <c r="W91" s="224">
        <v>1</v>
      </c>
      <c r="X91" s="219">
        <f t="shared" si="10"/>
        <v>10</v>
      </c>
      <c r="Y91" s="225">
        <v>7</v>
      </c>
      <c r="Z91" s="247" t="e">
        <f>VLOOKUP($D91,#REF!, Z$1-21, FALSE)*S91</f>
        <v>#REF!</v>
      </c>
      <c r="AA91" s="218" t="e">
        <f>VLOOKUP($D91,#REF!, AA$1-21, FALSE)*T91</f>
        <v>#REF!</v>
      </c>
      <c r="AB91" s="218" t="e">
        <f>VLOOKUP($D91,#REF!, AB$1-21, FALSE)*U91</f>
        <v>#REF!</v>
      </c>
      <c r="AC91" s="218" t="e">
        <f>VLOOKUP($D91,#REF!, AC$1-21, FALSE)*V91</f>
        <v>#REF!</v>
      </c>
      <c r="AD91" s="218" t="e">
        <f>VLOOKUP($D91,#REF!, AD$1-21, FALSE)*W91</f>
        <v>#REF!</v>
      </c>
      <c r="AE91" s="219" t="e">
        <f t="shared" si="15"/>
        <v>#REF!</v>
      </c>
      <c r="AF91" s="248" t="e">
        <f>VLOOKUP($D91,#REF!, AF$1-22, FALSE)*Y91</f>
        <v>#REF!</v>
      </c>
      <c r="AG91" s="223" t="e">
        <f t="shared" si="11"/>
        <v>#REF!</v>
      </c>
      <c r="AH91" s="224" t="e">
        <f t="shared" si="12"/>
        <v>#REF!</v>
      </c>
      <c r="AI91" s="225" t="e">
        <f t="shared" si="13"/>
        <v>#REF!</v>
      </c>
      <c r="AJ91" s="137">
        <v>178412</v>
      </c>
      <c r="AK91" s="150" t="e">
        <f t="shared" si="14"/>
        <v>#REF!</v>
      </c>
      <c r="AL91" s="111" t="e">
        <f>VLOOKUP($D91,#REF!,9,FALSE)-AG91</f>
        <v>#REF!</v>
      </c>
      <c r="AM91" s="111" t="e">
        <f>VLOOKUP($D91,#REF!,10,FALSE)-AH91</f>
        <v>#REF!</v>
      </c>
    </row>
    <row r="92" spans="1:39" x14ac:dyDescent="0.3">
      <c r="A92" s="102">
        <v>89</v>
      </c>
      <c r="B92" s="103" t="s">
        <v>230</v>
      </c>
      <c r="C92" s="119" t="s">
        <v>231</v>
      </c>
      <c r="D92" s="120" t="s">
        <v>232</v>
      </c>
      <c r="E92" s="223">
        <v>0</v>
      </c>
      <c r="F92" s="224">
        <v>0</v>
      </c>
      <c r="G92" s="224">
        <v>1</v>
      </c>
      <c r="H92" s="224">
        <v>1</v>
      </c>
      <c r="I92" s="224">
        <v>0</v>
      </c>
      <c r="J92" s="219">
        <f t="shared" si="8"/>
        <v>2</v>
      </c>
      <c r="K92" s="225">
        <v>3</v>
      </c>
      <c r="L92" s="221">
        <v>0</v>
      </c>
      <c r="M92" s="222">
        <v>0</v>
      </c>
      <c r="N92" s="222">
        <v>0</v>
      </c>
      <c r="O92" s="222">
        <v>-1</v>
      </c>
      <c r="P92" s="222">
        <v>0</v>
      </c>
      <c r="Q92" s="219">
        <f t="shared" si="9"/>
        <v>-1</v>
      </c>
      <c r="R92" s="222">
        <v>-1</v>
      </c>
      <c r="S92" s="223">
        <v>0</v>
      </c>
      <c r="T92" s="224">
        <v>0</v>
      </c>
      <c r="U92" s="224">
        <v>1</v>
      </c>
      <c r="V92" s="224">
        <v>0</v>
      </c>
      <c r="W92" s="224">
        <v>0</v>
      </c>
      <c r="X92" s="219">
        <f t="shared" si="10"/>
        <v>1</v>
      </c>
      <c r="Y92" s="225">
        <v>2</v>
      </c>
      <c r="Z92" s="247" t="e">
        <f>VLOOKUP($D92,#REF!, Z$1-21, FALSE)*S92</f>
        <v>#REF!</v>
      </c>
      <c r="AA92" s="218" t="e">
        <f>VLOOKUP($D92,#REF!, AA$1-21, FALSE)*T92</f>
        <v>#REF!</v>
      </c>
      <c r="AB92" s="218" t="e">
        <f>VLOOKUP($D92,#REF!, AB$1-21, FALSE)*U92</f>
        <v>#REF!</v>
      </c>
      <c r="AC92" s="218" t="e">
        <f>VLOOKUP($D92,#REF!, AC$1-21, FALSE)*V92</f>
        <v>#REF!</v>
      </c>
      <c r="AD92" s="218" t="e">
        <f>VLOOKUP($D92,#REF!, AD$1-21, FALSE)*W92</f>
        <v>#REF!</v>
      </c>
      <c r="AE92" s="219" t="e">
        <f t="shared" si="15"/>
        <v>#REF!</v>
      </c>
      <c r="AF92" s="248" t="e">
        <f>VLOOKUP($D92,#REF!, AF$1-22, FALSE)*Y92</f>
        <v>#REF!</v>
      </c>
      <c r="AG92" s="223" t="e">
        <f t="shared" si="11"/>
        <v>#REF!</v>
      </c>
      <c r="AH92" s="224" t="e">
        <f t="shared" si="12"/>
        <v>#REF!</v>
      </c>
      <c r="AI92" s="225" t="e">
        <f t="shared" si="13"/>
        <v>#REF!</v>
      </c>
      <c r="AJ92" s="137">
        <v>290992</v>
      </c>
      <c r="AK92" s="150" t="e">
        <f t="shared" si="14"/>
        <v>#REF!</v>
      </c>
      <c r="AL92" s="111" t="e">
        <f>VLOOKUP($D92,#REF!,9,FALSE)-AG92</f>
        <v>#REF!</v>
      </c>
      <c r="AM92" s="111" t="e">
        <f>VLOOKUP($D92,#REF!,10,FALSE)-AH92</f>
        <v>#REF!</v>
      </c>
    </row>
    <row r="93" spans="1:39" x14ac:dyDescent="0.3">
      <c r="A93" s="102">
        <v>90</v>
      </c>
      <c r="B93" s="103" t="s">
        <v>233</v>
      </c>
      <c r="C93" s="93" t="s">
        <v>234</v>
      </c>
      <c r="D93" s="94" t="s">
        <v>235</v>
      </c>
      <c r="E93" s="223">
        <v>0</v>
      </c>
      <c r="F93" s="224">
        <v>0</v>
      </c>
      <c r="G93" s="224">
        <v>1</v>
      </c>
      <c r="H93" s="224">
        <v>0</v>
      </c>
      <c r="I93" s="224">
        <v>0</v>
      </c>
      <c r="J93" s="219">
        <f t="shared" si="8"/>
        <v>1</v>
      </c>
      <c r="K93" s="225">
        <v>3</v>
      </c>
      <c r="L93" s="221">
        <v>0</v>
      </c>
      <c r="M93" s="222">
        <v>0</v>
      </c>
      <c r="N93" s="222">
        <v>0</v>
      </c>
      <c r="O93" s="222">
        <v>0</v>
      </c>
      <c r="P93" s="222">
        <v>0</v>
      </c>
      <c r="Q93" s="219">
        <f t="shared" si="9"/>
        <v>0</v>
      </c>
      <c r="R93" s="222">
        <v>0</v>
      </c>
      <c r="S93" s="223">
        <v>0</v>
      </c>
      <c r="T93" s="224">
        <v>0</v>
      </c>
      <c r="U93" s="224">
        <v>1</v>
      </c>
      <c r="V93" s="224">
        <v>0</v>
      </c>
      <c r="W93" s="224">
        <v>0</v>
      </c>
      <c r="X93" s="219">
        <f t="shared" si="10"/>
        <v>1</v>
      </c>
      <c r="Y93" s="225">
        <v>3</v>
      </c>
      <c r="Z93" s="247" t="e">
        <f>VLOOKUP($D93,#REF!, Z$1-21, FALSE)*S93</f>
        <v>#REF!</v>
      </c>
      <c r="AA93" s="218" t="e">
        <f>VLOOKUP($D93,#REF!, AA$1-21, FALSE)*T93</f>
        <v>#REF!</v>
      </c>
      <c r="AB93" s="218" t="e">
        <f>VLOOKUP($D93,#REF!, AB$1-21, FALSE)*U93</f>
        <v>#REF!</v>
      </c>
      <c r="AC93" s="218" t="e">
        <f>VLOOKUP($D93,#REF!, AC$1-21, FALSE)*V93</f>
        <v>#REF!</v>
      </c>
      <c r="AD93" s="218" t="e">
        <f>VLOOKUP($D93,#REF!, AD$1-21, FALSE)*W93</f>
        <v>#REF!</v>
      </c>
      <c r="AE93" s="219" t="e">
        <f t="shared" si="15"/>
        <v>#REF!</v>
      </c>
      <c r="AF93" s="248" t="e">
        <f>VLOOKUP($D93,#REF!, AF$1-22, FALSE)*Y93</f>
        <v>#REF!</v>
      </c>
      <c r="AG93" s="223" t="e">
        <f t="shared" si="11"/>
        <v>#REF!</v>
      </c>
      <c r="AH93" s="224" t="e">
        <f t="shared" si="12"/>
        <v>#REF!</v>
      </c>
      <c r="AI93" s="225" t="e">
        <f t="shared" si="13"/>
        <v>#REF!</v>
      </c>
      <c r="AJ93" s="137">
        <v>494872</v>
      </c>
      <c r="AK93" s="150" t="e">
        <f t="shared" si="14"/>
        <v>#REF!</v>
      </c>
      <c r="AL93" s="111" t="e">
        <f>VLOOKUP($D93,#REF!,9,FALSE)-AG93</f>
        <v>#REF!</v>
      </c>
      <c r="AM93" s="111" t="e">
        <f>VLOOKUP($D93,#REF!,10,FALSE)-AH93</f>
        <v>#REF!</v>
      </c>
    </row>
    <row r="94" spans="1:39" x14ac:dyDescent="0.3">
      <c r="A94" s="102">
        <v>91</v>
      </c>
      <c r="B94" s="103" t="s">
        <v>399</v>
      </c>
      <c r="C94" s="107" t="s">
        <v>236</v>
      </c>
      <c r="D94" s="97" t="s">
        <v>237</v>
      </c>
      <c r="E94" s="223">
        <v>0</v>
      </c>
      <c r="F94" s="224">
        <v>0</v>
      </c>
      <c r="G94" s="224">
        <v>0</v>
      </c>
      <c r="H94" s="224">
        <v>0</v>
      </c>
      <c r="I94" s="224">
        <v>0</v>
      </c>
      <c r="J94" s="219">
        <f t="shared" si="8"/>
        <v>0</v>
      </c>
      <c r="K94" s="225">
        <v>2</v>
      </c>
      <c r="L94" s="221">
        <v>0</v>
      </c>
      <c r="M94" s="222">
        <v>0</v>
      </c>
      <c r="N94" s="222">
        <v>0</v>
      </c>
      <c r="O94" s="222">
        <v>0</v>
      </c>
      <c r="P94" s="222">
        <v>0</v>
      </c>
      <c r="Q94" s="219">
        <f t="shared" si="9"/>
        <v>0</v>
      </c>
      <c r="R94" s="222">
        <v>0</v>
      </c>
      <c r="S94" s="223">
        <v>0</v>
      </c>
      <c r="T94" s="224">
        <v>0</v>
      </c>
      <c r="U94" s="224">
        <v>0</v>
      </c>
      <c r="V94" s="224">
        <v>0</v>
      </c>
      <c r="W94" s="224">
        <v>0</v>
      </c>
      <c r="X94" s="219">
        <f t="shared" si="10"/>
        <v>0</v>
      </c>
      <c r="Y94" s="225">
        <v>2</v>
      </c>
      <c r="Z94" s="247" t="e">
        <f>VLOOKUP($D94,#REF!, Z$1-21, FALSE)*S94</f>
        <v>#REF!</v>
      </c>
      <c r="AA94" s="218" t="e">
        <f>VLOOKUP($D94,#REF!, AA$1-21, FALSE)*T94</f>
        <v>#REF!</v>
      </c>
      <c r="AB94" s="218" t="e">
        <f>VLOOKUP($D94,#REF!, AB$1-21, FALSE)*U94</f>
        <v>#REF!</v>
      </c>
      <c r="AC94" s="218" t="e">
        <f>VLOOKUP($D94,#REF!, AC$1-21, FALSE)*V94</f>
        <v>#REF!</v>
      </c>
      <c r="AD94" s="218" t="e">
        <f>VLOOKUP($D94,#REF!, AD$1-21, FALSE)*W94</f>
        <v>#REF!</v>
      </c>
      <c r="AE94" s="219" t="e">
        <f t="shared" si="15"/>
        <v>#REF!</v>
      </c>
      <c r="AF94" s="248" t="e">
        <f>VLOOKUP($D94,#REF!, AF$1-22, FALSE)*Y94</f>
        <v>#REF!</v>
      </c>
      <c r="AG94" s="223" t="e">
        <f t="shared" si="11"/>
        <v>#REF!</v>
      </c>
      <c r="AH94" s="224" t="e">
        <f t="shared" si="12"/>
        <v>#REF!</v>
      </c>
      <c r="AI94" s="225" t="e">
        <f t="shared" si="13"/>
        <v>#REF!</v>
      </c>
      <c r="AJ94" s="137">
        <v>331995</v>
      </c>
      <c r="AK94" s="150" t="e">
        <f t="shared" si="14"/>
        <v>#REF!</v>
      </c>
      <c r="AL94" s="111" t="e">
        <f>VLOOKUP($D94,#REF!,9,FALSE)-AG94</f>
        <v>#REF!</v>
      </c>
      <c r="AM94" s="111" t="e">
        <f>VLOOKUP($D94,#REF!,10,FALSE)-AH94</f>
        <v>#REF!</v>
      </c>
    </row>
    <row r="95" spans="1:39" x14ac:dyDescent="0.3">
      <c r="A95" s="102">
        <v>92</v>
      </c>
      <c r="B95" s="103" t="s">
        <v>238</v>
      </c>
      <c r="C95" s="93" t="s">
        <v>239</v>
      </c>
      <c r="D95" s="94" t="s">
        <v>240</v>
      </c>
      <c r="E95" s="223">
        <v>0</v>
      </c>
      <c r="F95" s="224">
        <v>0</v>
      </c>
      <c r="G95" s="224">
        <v>1</v>
      </c>
      <c r="H95" s="224">
        <v>0</v>
      </c>
      <c r="I95" s="224">
        <v>0</v>
      </c>
      <c r="J95" s="219">
        <f t="shared" si="8"/>
        <v>1</v>
      </c>
      <c r="K95" s="225">
        <v>2</v>
      </c>
      <c r="L95" s="221">
        <v>0</v>
      </c>
      <c r="M95" s="222">
        <v>0</v>
      </c>
      <c r="N95" s="222">
        <v>0</v>
      </c>
      <c r="O95" s="222">
        <v>0</v>
      </c>
      <c r="P95" s="222">
        <v>0</v>
      </c>
      <c r="Q95" s="219">
        <f t="shared" si="9"/>
        <v>0</v>
      </c>
      <c r="R95" s="222">
        <v>0</v>
      </c>
      <c r="S95" s="223">
        <v>0</v>
      </c>
      <c r="T95" s="224">
        <v>0</v>
      </c>
      <c r="U95" s="224">
        <v>1</v>
      </c>
      <c r="V95" s="224">
        <v>0</v>
      </c>
      <c r="W95" s="224">
        <v>0</v>
      </c>
      <c r="X95" s="219">
        <f t="shared" si="10"/>
        <v>1</v>
      </c>
      <c r="Y95" s="225">
        <v>2</v>
      </c>
      <c r="Z95" s="247" t="e">
        <f>VLOOKUP($D95,#REF!, Z$1-21, FALSE)*S95</f>
        <v>#REF!</v>
      </c>
      <c r="AA95" s="218" t="e">
        <f>VLOOKUP($D95,#REF!, AA$1-21, FALSE)*T95</f>
        <v>#REF!</v>
      </c>
      <c r="AB95" s="218" t="e">
        <f>VLOOKUP($D95,#REF!, AB$1-21, FALSE)*U95</f>
        <v>#REF!</v>
      </c>
      <c r="AC95" s="218" t="e">
        <f>VLOOKUP($D95,#REF!, AC$1-21, FALSE)*V95</f>
        <v>#REF!</v>
      </c>
      <c r="AD95" s="218" t="e">
        <f>VLOOKUP($D95,#REF!, AD$1-21, FALSE)*W95</f>
        <v>#REF!</v>
      </c>
      <c r="AE95" s="219" t="e">
        <f t="shared" si="15"/>
        <v>#REF!</v>
      </c>
      <c r="AF95" s="248" t="e">
        <f>VLOOKUP($D95,#REF!, AF$1-22, FALSE)*Y95</f>
        <v>#REF!</v>
      </c>
      <c r="AG95" s="223" t="e">
        <f t="shared" si="11"/>
        <v>#REF!</v>
      </c>
      <c r="AH95" s="224" t="e">
        <f t="shared" si="12"/>
        <v>#REF!</v>
      </c>
      <c r="AI95" s="225" t="e">
        <f t="shared" si="13"/>
        <v>#REF!</v>
      </c>
      <c r="AJ95" s="137">
        <v>617256</v>
      </c>
      <c r="AK95" s="150" t="e">
        <f t="shared" si="14"/>
        <v>#REF!</v>
      </c>
      <c r="AL95" s="111" t="e">
        <f>VLOOKUP($D95,#REF!,9,FALSE)-AG95</f>
        <v>#REF!</v>
      </c>
      <c r="AM95" s="111" t="e">
        <f>VLOOKUP($D95,#REF!,10,FALSE)-AH95</f>
        <v>#REF!</v>
      </c>
    </row>
    <row r="96" spans="1:39" x14ac:dyDescent="0.3">
      <c r="A96" s="102">
        <v>93</v>
      </c>
      <c r="B96" s="103" t="s">
        <v>241</v>
      </c>
      <c r="C96" s="93" t="s">
        <v>242</v>
      </c>
      <c r="D96" s="94" t="s">
        <v>243</v>
      </c>
      <c r="E96" s="223">
        <v>0</v>
      </c>
      <c r="F96" s="224">
        <v>0</v>
      </c>
      <c r="G96" s="224">
        <v>1</v>
      </c>
      <c r="H96" s="224">
        <v>1</v>
      </c>
      <c r="I96" s="224">
        <v>0</v>
      </c>
      <c r="J96" s="219">
        <f t="shared" si="8"/>
        <v>2</v>
      </c>
      <c r="K96" s="225">
        <v>3</v>
      </c>
      <c r="L96" s="221">
        <v>0</v>
      </c>
      <c r="M96" s="222">
        <v>0</v>
      </c>
      <c r="N96" s="222">
        <v>1</v>
      </c>
      <c r="O96" s="222">
        <v>-1</v>
      </c>
      <c r="P96" s="222">
        <v>1</v>
      </c>
      <c r="Q96" s="219">
        <f t="shared" si="9"/>
        <v>1</v>
      </c>
      <c r="R96" s="222">
        <v>0</v>
      </c>
      <c r="S96" s="223">
        <v>0</v>
      </c>
      <c r="T96" s="224">
        <v>0</v>
      </c>
      <c r="U96" s="224">
        <v>2</v>
      </c>
      <c r="V96" s="224">
        <v>0</v>
      </c>
      <c r="W96" s="224">
        <v>1</v>
      </c>
      <c r="X96" s="219">
        <f t="shared" si="10"/>
        <v>3</v>
      </c>
      <c r="Y96" s="225">
        <v>3</v>
      </c>
      <c r="Z96" s="247" t="e">
        <f>VLOOKUP($D96,#REF!, Z$1-21, FALSE)*S96</f>
        <v>#REF!</v>
      </c>
      <c r="AA96" s="218" t="e">
        <f>VLOOKUP($D96,#REF!, AA$1-21, FALSE)*T96</f>
        <v>#REF!</v>
      </c>
      <c r="AB96" s="218" t="e">
        <f>VLOOKUP($D96,#REF!, AB$1-21, FALSE)*U96</f>
        <v>#REF!</v>
      </c>
      <c r="AC96" s="218" t="e">
        <f>VLOOKUP($D96,#REF!, AC$1-21, FALSE)*V96</f>
        <v>#REF!</v>
      </c>
      <c r="AD96" s="218" t="e">
        <f>VLOOKUP($D96,#REF!, AD$1-21, FALSE)*W96</f>
        <v>#REF!</v>
      </c>
      <c r="AE96" s="219" t="e">
        <f t="shared" si="15"/>
        <v>#REF!</v>
      </c>
      <c r="AF96" s="248" t="e">
        <f>VLOOKUP($D96,#REF!, AF$1-22, FALSE)*Y96</f>
        <v>#REF!</v>
      </c>
      <c r="AG96" s="223" t="e">
        <f t="shared" si="11"/>
        <v>#REF!</v>
      </c>
      <c r="AH96" s="224" t="e">
        <f t="shared" si="12"/>
        <v>#REF!</v>
      </c>
      <c r="AI96" s="225" t="e">
        <f t="shared" si="13"/>
        <v>#REF!</v>
      </c>
      <c r="AJ96" s="137">
        <v>4489636</v>
      </c>
      <c r="AK96" s="150" t="e">
        <f t="shared" si="14"/>
        <v>#REF!</v>
      </c>
      <c r="AL96" s="111" t="e">
        <f>VLOOKUP($D96,#REF!,9,FALSE)-AG96</f>
        <v>#REF!</v>
      </c>
      <c r="AM96" s="111" t="e">
        <f>VLOOKUP($D96,#REF!,10,FALSE)-AH96</f>
        <v>#REF!</v>
      </c>
    </row>
    <row r="97" spans="1:39" x14ac:dyDescent="0.3">
      <c r="A97" s="102">
        <v>94</v>
      </c>
      <c r="B97" s="103" t="s">
        <v>336</v>
      </c>
      <c r="C97" s="93" t="s">
        <v>311</v>
      </c>
      <c r="D97" s="94" t="s">
        <v>245</v>
      </c>
      <c r="E97" s="223">
        <v>0</v>
      </c>
      <c r="F97" s="224">
        <v>0</v>
      </c>
      <c r="G97" s="224">
        <v>1</v>
      </c>
      <c r="H97" s="224">
        <v>0</v>
      </c>
      <c r="I97" s="224">
        <v>0</v>
      </c>
      <c r="J97" s="219">
        <f t="shared" si="8"/>
        <v>1</v>
      </c>
      <c r="K97" s="225">
        <v>2</v>
      </c>
      <c r="L97" s="221">
        <v>0</v>
      </c>
      <c r="M97" s="222">
        <v>0</v>
      </c>
      <c r="N97" s="222">
        <v>0</v>
      </c>
      <c r="O97" s="222">
        <v>0</v>
      </c>
      <c r="P97" s="222">
        <v>0</v>
      </c>
      <c r="Q97" s="219">
        <f t="shared" si="9"/>
        <v>0</v>
      </c>
      <c r="R97" s="222">
        <v>0</v>
      </c>
      <c r="S97" s="223">
        <v>0</v>
      </c>
      <c r="T97" s="224">
        <v>0</v>
      </c>
      <c r="U97" s="224">
        <v>1</v>
      </c>
      <c r="V97" s="224">
        <v>0</v>
      </c>
      <c r="W97" s="224">
        <v>0</v>
      </c>
      <c r="X97" s="219">
        <f t="shared" si="10"/>
        <v>1</v>
      </c>
      <c r="Y97" s="225">
        <v>2</v>
      </c>
      <c r="Z97" s="247" t="e">
        <f>VLOOKUP($D97,#REF!, Z$1-21, FALSE)*S97</f>
        <v>#REF!</v>
      </c>
      <c r="AA97" s="218" t="e">
        <f>VLOOKUP($D97,#REF!, AA$1-21, FALSE)*T97</f>
        <v>#REF!</v>
      </c>
      <c r="AB97" s="218" t="e">
        <f>VLOOKUP($D97,#REF!, AB$1-21, FALSE)*U97</f>
        <v>#REF!</v>
      </c>
      <c r="AC97" s="218" t="e">
        <f>VLOOKUP($D97,#REF!, AC$1-21, FALSE)*V97</f>
        <v>#REF!</v>
      </c>
      <c r="AD97" s="218" t="e">
        <f>VLOOKUP($D97,#REF!, AD$1-21, FALSE)*W97</f>
        <v>#REF!</v>
      </c>
      <c r="AE97" s="219" t="e">
        <f t="shared" si="15"/>
        <v>#REF!</v>
      </c>
      <c r="AF97" s="248" t="e">
        <f>VLOOKUP($D97,#REF!, AF$1-22, FALSE)*Y97</f>
        <v>#REF!</v>
      </c>
      <c r="AG97" s="223" t="e">
        <f t="shared" si="11"/>
        <v>#REF!</v>
      </c>
      <c r="AH97" s="224" t="e">
        <f t="shared" si="12"/>
        <v>#REF!</v>
      </c>
      <c r="AI97" s="225" t="e">
        <f t="shared" si="13"/>
        <v>#REF!</v>
      </c>
      <c r="AJ97" s="137">
        <v>985782</v>
      </c>
      <c r="AK97" s="150" t="e">
        <f t="shared" si="14"/>
        <v>#REF!</v>
      </c>
      <c r="AL97" s="111" t="e">
        <f>VLOOKUP($D97,#REF!,9,FALSE)-AG97</f>
        <v>#REF!</v>
      </c>
      <c r="AM97" s="111" t="e">
        <f>VLOOKUP($D97,#REF!,10,FALSE)-AH97</f>
        <v>#REF!</v>
      </c>
    </row>
    <row r="98" spans="1:39" x14ac:dyDescent="0.3">
      <c r="A98" s="102">
        <v>95</v>
      </c>
      <c r="B98" s="103" t="s">
        <v>381</v>
      </c>
      <c r="C98" s="107" t="s">
        <v>246</v>
      </c>
      <c r="D98" s="94" t="s">
        <v>247</v>
      </c>
      <c r="E98" s="223">
        <v>0</v>
      </c>
      <c r="F98" s="224">
        <v>1</v>
      </c>
      <c r="G98" s="224">
        <v>1</v>
      </c>
      <c r="H98" s="224">
        <v>1</v>
      </c>
      <c r="I98" s="224">
        <v>0</v>
      </c>
      <c r="J98" s="219">
        <f t="shared" si="8"/>
        <v>3</v>
      </c>
      <c r="K98" s="225">
        <v>3</v>
      </c>
      <c r="L98" s="221">
        <v>0</v>
      </c>
      <c r="M98" s="222">
        <v>0</v>
      </c>
      <c r="N98" s="222">
        <v>0</v>
      </c>
      <c r="O98" s="222">
        <v>0</v>
      </c>
      <c r="P98" s="222">
        <v>0</v>
      </c>
      <c r="Q98" s="219">
        <f t="shared" si="9"/>
        <v>0</v>
      </c>
      <c r="R98" s="222">
        <v>0</v>
      </c>
      <c r="S98" s="223">
        <v>0</v>
      </c>
      <c r="T98" s="224">
        <v>1</v>
      </c>
      <c r="U98" s="224">
        <v>1</v>
      </c>
      <c r="V98" s="224">
        <v>1</v>
      </c>
      <c r="W98" s="224">
        <v>0</v>
      </c>
      <c r="X98" s="219">
        <f t="shared" si="10"/>
        <v>3</v>
      </c>
      <c r="Y98" s="225">
        <v>3</v>
      </c>
      <c r="Z98" s="247" t="e">
        <f>VLOOKUP($D98,#REF!, Z$1-21, FALSE)*S98</f>
        <v>#REF!</v>
      </c>
      <c r="AA98" s="218" t="e">
        <f>VLOOKUP($D98,#REF!, AA$1-21, FALSE)*T98</f>
        <v>#REF!</v>
      </c>
      <c r="AB98" s="218" t="e">
        <f>VLOOKUP($D98,#REF!, AB$1-21, FALSE)*U98</f>
        <v>#REF!</v>
      </c>
      <c r="AC98" s="218" t="e">
        <f>VLOOKUP($D98,#REF!, AC$1-21, FALSE)*V98</f>
        <v>#REF!</v>
      </c>
      <c r="AD98" s="218" t="e">
        <f>VLOOKUP($D98,#REF!, AD$1-21, FALSE)*W98</f>
        <v>#REF!</v>
      </c>
      <c r="AE98" s="219" t="e">
        <f t="shared" si="15"/>
        <v>#REF!</v>
      </c>
      <c r="AF98" s="248" t="e">
        <f>VLOOKUP($D98,#REF!, AF$1-22, FALSE)*Y98</f>
        <v>#REF!</v>
      </c>
      <c r="AG98" s="223" t="e">
        <f t="shared" si="11"/>
        <v>#REF!</v>
      </c>
      <c r="AH98" s="224" t="e">
        <f t="shared" si="12"/>
        <v>#REF!</v>
      </c>
      <c r="AI98" s="225" t="e">
        <f t="shared" si="13"/>
        <v>#REF!</v>
      </c>
      <c r="AJ98" s="137">
        <v>803944</v>
      </c>
      <c r="AK98" s="150" t="e">
        <f t="shared" si="14"/>
        <v>#REF!</v>
      </c>
      <c r="AL98" s="111" t="e">
        <f>VLOOKUP($D98,#REF!,9,FALSE)-AG98</f>
        <v>#REF!</v>
      </c>
      <c r="AM98" s="111" t="e">
        <f>VLOOKUP($D98,#REF!,10,FALSE)-AH98</f>
        <v>#REF!</v>
      </c>
    </row>
    <row r="99" spans="1:39" x14ac:dyDescent="0.3">
      <c r="A99" s="102">
        <v>96</v>
      </c>
      <c r="B99" s="103" t="s">
        <v>248</v>
      </c>
      <c r="C99" s="93" t="s">
        <v>249</v>
      </c>
      <c r="D99" s="94" t="s">
        <v>250</v>
      </c>
      <c r="E99" s="223">
        <v>0</v>
      </c>
      <c r="F99" s="224">
        <v>1</v>
      </c>
      <c r="G99" s="224">
        <v>8</v>
      </c>
      <c r="H99" s="224">
        <v>9</v>
      </c>
      <c r="I99" s="224">
        <v>1</v>
      </c>
      <c r="J99" s="219">
        <f t="shared" si="8"/>
        <v>19</v>
      </c>
      <c r="K99" s="225">
        <v>14</v>
      </c>
      <c r="L99" s="221">
        <v>0</v>
      </c>
      <c r="M99" s="222">
        <v>0</v>
      </c>
      <c r="N99" s="222">
        <v>0</v>
      </c>
      <c r="O99" s="222">
        <v>0</v>
      </c>
      <c r="P99" s="222">
        <v>0</v>
      </c>
      <c r="Q99" s="219">
        <f t="shared" si="9"/>
        <v>0</v>
      </c>
      <c r="R99" s="222">
        <v>-1</v>
      </c>
      <c r="S99" s="223">
        <v>0</v>
      </c>
      <c r="T99" s="224">
        <v>1</v>
      </c>
      <c r="U99" s="224">
        <v>8</v>
      </c>
      <c r="V99" s="224">
        <v>9</v>
      </c>
      <c r="W99" s="224">
        <v>1</v>
      </c>
      <c r="X99" s="219">
        <f t="shared" si="10"/>
        <v>19</v>
      </c>
      <c r="Y99" s="225">
        <v>13</v>
      </c>
      <c r="Z99" s="247" t="e">
        <f>VLOOKUP($D99,#REF!, Z$1-21, FALSE)*S99</f>
        <v>#REF!</v>
      </c>
      <c r="AA99" s="218" t="e">
        <f>VLOOKUP($D99,#REF!, AA$1-21, FALSE)*T99</f>
        <v>#REF!</v>
      </c>
      <c r="AB99" s="218" t="e">
        <f>VLOOKUP($D99,#REF!, AB$1-21, FALSE)*U99</f>
        <v>#REF!</v>
      </c>
      <c r="AC99" s="218" t="e">
        <f>VLOOKUP($D99,#REF!, AC$1-21, FALSE)*V99</f>
        <v>#REF!</v>
      </c>
      <c r="AD99" s="218" t="e">
        <f>VLOOKUP($D99,#REF!, AD$1-21, FALSE)*W99</f>
        <v>#REF!</v>
      </c>
      <c r="AE99" s="219" t="e">
        <f t="shared" si="15"/>
        <v>#REF!</v>
      </c>
      <c r="AF99" s="248" t="e">
        <f>VLOOKUP($D99,#REF!, AF$1-22, FALSE)*Y99</f>
        <v>#REF!</v>
      </c>
      <c r="AG99" s="223" t="e">
        <f t="shared" si="11"/>
        <v>#REF!</v>
      </c>
      <c r="AH99" s="224" t="e">
        <f t="shared" si="12"/>
        <v>#REF!</v>
      </c>
      <c r="AI99" s="225" t="e">
        <f t="shared" si="13"/>
        <v>#REF!</v>
      </c>
      <c r="AJ99" s="154">
        <v>3032990</v>
      </c>
      <c r="AK99" s="155" t="e">
        <f>SUM(AI99:AI100)-AJ99</f>
        <v>#REF!</v>
      </c>
      <c r="AL99" s="111" t="e">
        <f>VLOOKUP($D99,#REF!,9,FALSE)-AG99</f>
        <v>#REF!</v>
      </c>
      <c r="AM99" s="111" t="e">
        <f>VLOOKUP($D99,#REF!,10,FALSE)-AH99</f>
        <v>#REF!</v>
      </c>
    </row>
    <row r="100" spans="1:39" x14ac:dyDescent="0.3">
      <c r="A100" s="102">
        <v>97</v>
      </c>
      <c r="B100" s="103" t="s">
        <v>382</v>
      </c>
      <c r="C100" s="93" t="s">
        <v>251</v>
      </c>
      <c r="D100" s="94" t="s">
        <v>252</v>
      </c>
      <c r="E100" s="223">
        <v>0</v>
      </c>
      <c r="F100" s="224">
        <v>1</v>
      </c>
      <c r="G100" s="224">
        <v>2</v>
      </c>
      <c r="H100" s="224">
        <v>1</v>
      </c>
      <c r="I100" s="224">
        <v>0</v>
      </c>
      <c r="J100" s="219">
        <f t="shared" si="8"/>
        <v>4</v>
      </c>
      <c r="K100" s="225">
        <v>5</v>
      </c>
      <c r="L100" s="221">
        <v>0</v>
      </c>
      <c r="M100" s="222">
        <v>0</v>
      </c>
      <c r="N100" s="222">
        <v>-1</v>
      </c>
      <c r="O100" s="222">
        <v>0</v>
      </c>
      <c r="P100" s="222">
        <v>0</v>
      </c>
      <c r="Q100" s="219">
        <f t="shared" si="9"/>
        <v>-1</v>
      </c>
      <c r="R100" s="222">
        <v>0</v>
      </c>
      <c r="S100" s="223">
        <v>0</v>
      </c>
      <c r="T100" s="224">
        <v>1</v>
      </c>
      <c r="U100" s="224">
        <v>1</v>
      </c>
      <c r="V100" s="224">
        <v>1</v>
      </c>
      <c r="W100" s="224">
        <v>0</v>
      </c>
      <c r="X100" s="219">
        <f t="shared" si="10"/>
        <v>3</v>
      </c>
      <c r="Y100" s="225">
        <v>5</v>
      </c>
      <c r="Z100" s="247" t="e">
        <f>VLOOKUP($D100,#REF!, Z$1-21, FALSE)*S100</f>
        <v>#REF!</v>
      </c>
      <c r="AA100" s="218" t="e">
        <f>VLOOKUP($D100,#REF!, AA$1-21, FALSE)*T100</f>
        <v>#REF!</v>
      </c>
      <c r="AB100" s="218" t="e">
        <f>VLOOKUP($D100,#REF!, AB$1-21, FALSE)*U100</f>
        <v>#REF!</v>
      </c>
      <c r="AC100" s="218" t="e">
        <f>VLOOKUP($D100,#REF!, AC$1-21, FALSE)*V100</f>
        <v>#REF!</v>
      </c>
      <c r="AD100" s="218" t="e">
        <f>VLOOKUP($D100,#REF!, AD$1-21, FALSE)*W100</f>
        <v>#REF!</v>
      </c>
      <c r="AE100" s="219" t="e">
        <f t="shared" si="15"/>
        <v>#REF!</v>
      </c>
      <c r="AF100" s="248" t="e">
        <f>VLOOKUP($D100,#REF!, AF$1-22, FALSE)*Y100</f>
        <v>#REF!</v>
      </c>
      <c r="AG100" s="223" t="e">
        <f t="shared" si="11"/>
        <v>#REF!</v>
      </c>
      <c r="AH100" s="224" t="e">
        <f t="shared" si="12"/>
        <v>#REF!</v>
      </c>
      <c r="AI100" s="225" t="e">
        <f t="shared" si="13"/>
        <v>#REF!</v>
      </c>
      <c r="AJ100" s="154"/>
      <c r="AK100" s="155"/>
      <c r="AL100" s="111" t="e">
        <f>VLOOKUP($D100,#REF!,9,FALSE)-AG100</f>
        <v>#REF!</v>
      </c>
      <c r="AM100" s="111" t="e">
        <f>VLOOKUP($D100,#REF!,10,FALSE)-AH100</f>
        <v>#REF!</v>
      </c>
    </row>
    <row r="101" spans="1:39" x14ac:dyDescent="0.3">
      <c r="A101" s="102">
        <v>98</v>
      </c>
      <c r="B101" s="103" t="s">
        <v>400</v>
      </c>
      <c r="C101" s="93" t="s">
        <v>253</v>
      </c>
      <c r="D101" s="94" t="s">
        <v>254</v>
      </c>
      <c r="E101" s="223">
        <v>0</v>
      </c>
      <c r="F101" s="224">
        <v>1</v>
      </c>
      <c r="G101" s="224">
        <v>2</v>
      </c>
      <c r="H101" s="224">
        <v>1</v>
      </c>
      <c r="I101" s="224">
        <v>0</v>
      </c>
      <c r="J101" s="219">
        <f t="shared" si="8"/>
        <v>4</v>
      </c>
      <c r="K101" s="225">
        <v>5</v>
      </c>
      <c r="L101" s="221">
        <v>0</v>
      </c>
      <c r="M101" s="222">
        <v>0</v>
      </c>
      <c r="N101" s="222">
        <v>-1</v>
      </c>
      <c r="O101" s="222">
        <v>0</v>
      </c>
      <c r="P101" s="222">
        <v>0</v>
      </c>
      <c r="Q101" s="219">
        <f t="shared" si="9"/>
        <v>-1</v>
      </c>
      <c r="R101" s="222">
        <v>0</v>
      </c>
      <c r="S101" s="223">
        <v>0</v>
      </c>
      <c r="T101" s="224">
        <v>1</v>
      </c>
      <c r="U101" s="224">
        <v>1</v>
      </c>
      <c r="V101" s="224">
        <v>1</v>
      </c>
      <c r="W101" s="224">
        <v>0</v>
      </c>
      <c r="X101" s="219">
        <f t="shared" si="10"/>
        <v>3</v>
      </c>
      <c r="Y101" s="225">
        <v>5</v>
      </c>
      <c r="Z101" s="247" t="e">
        <f>VLOOKUP($D101,#REF!, Z$1-21, FALSE)*S101</f>
        <v>#REF!</v>
      </c>
      <c r="AA101" s="218" t="e">
        <f>VLOOKUP($D101,#REF!, AA$1-21, FALSE)*T101</f>
        <v>#REF!</v>
      </c>
      <c r="AB101" s="218" t="e">
        <f>VLOOKUP($D101,#REF!, AB$1-21, FALSE)*U101</f>
        <v>#REF!</v>
      </c>
      <c r="AC101" s="218" t="e">
        <f>VLOOKUP($D101,#REF!, AC$1-21, FALSE)*V101</f>
        <v>#REF!</v>
      </c>
      <c r="AD101" s="218" t="e">
        <f>VLOOKUP($D101,#REF!, AD$1-21, FALSE)*W101</f>
        <v>#REF!</v>
      </c>
      <c r="AE101" s="219" t="e">
        <f t="shared" si="15"/>
        <v>#REF!</v>
      </c>
      <c r="AF101" s="248" t="e">
        <f>VLOOKUP($D101,#REF!, AF$1-22, FALSE)*Y101</f>
        <v>#REF!</v>
      </c>
      <c r="AG101" s="223" t="e">
        <f t="shared" si="11"/>
        <v>#REF!</v>
      </c>
      <c r="AH101" s="224" t="e">
        <f t="shared" si="12"/>
        <v>#REF!</v>
      </c>
      <c r="AI101" s="225" t="e">
        <f t="shared" si="13"/>
        <v>#REF!</v>
      </c>
      <c r="AJ101" s="137">
        <v>1590703</v>
      </c>
      <c r="AK101" s="150" t="e">
        <f t="shared" si="14"/>
        <v>#REF!</v>
      </c>
      <c r="AL101" s="111" t="e">
        <f>VLOOKUP($D101,#REF!,9,FALSE)-AG101</f>
        <v>#REF!</v>
      </c>
      <c r="AM101" s="111" t="e">
        <f>VLOOKUP($D101,#REF!,10,FALSE)-AH101</f>
        <v>#REF!</v>
      </c>
    </row>
    <row r="102" spans="1:39" x14ac:dyDescent="0.3">
      <c r="A102" s="102">
        <v>99</v>
      </c>
      <c r="B102" s="151" t="s">
        <v>406</v>
      </c>
      <c r="C102" s="156" t="s">
        <v>352</v>
      </c>
      <c r="D102" s="157" t="s">
        <v>256</v>
      </c>
      <c r="E102" s="227">
        <v>0</v>
      </c>
      <c r="F102" s="226">
        <v>1</v>
      </c>
      <c r="G102" s="226">
        <v>1</v>
      </c>
      <c r="H102" s="226">
        <v>5</v>
      </c>
      <c r="I102" s="226">
        <v>1</v>
      </c>
      <c r="J102" s="219">
        <f t="shared" si="8"/>
        <v>8</v>
      </c>
      <c r="K102" s="228">
        <v>6</v>
      </c>
      <c r="L102" s="221">
        <v>0</v>
      </c>
      <c r="M102" s="222">
        <v>0</v>
      </c>
      <c r="N102" s="222">
        <v>0</v>
      </c>
      <c r="O102" s="222">
        <v>0</v>
      </c>
      <c r="P102" s="222">
        <v>0</v>
      </c>
      <c r="Q102" s="219">
        <f t="shared" si="9"/>
        <v>0</v>
      </c>
      <c r="R102" s="222">
        <v>0</v>
      </c>
      <c r="S102" s="227">
        <v>0</v>
      </c>
      <c r="T102" s="226">
        <v>1</v>
      </c>
      <c r="U102" s="226">
        <v>1</v>
      </c>
      <c r="V102" s="226">
        <v>5</v>
      </c>
      <c r="W102" s="226">
        <v>1</v>
      </c>
      <c r="X102" s="219">
        <f t="shared" si="10"/>
        <v>8</v>
      </c>
      <c r="Y102" s="228">
        <v>6</v>
      </c>
      <c r="Z102" s="247" t="e">
        <f>VLOOKUP($D102,#REF!, Z$1-21, FALSE)*S102</f>
        <v>#REF!</v>
      </c>
      <c r="AA102" s="218" t="e">
        <f>VLOOKUP($D102,#REF!, AA$1-21, FALSE)*T102</f>
        <v>#REF!</v>
      </c>
      <c r="AB102" s="218" t="e">
        <f>VLOOKUP($D102,#REF!, AB$1-21, FALSE)*U102</f>
        <v>#REF!</v>
      </c>
      <c r="AC102" s="218" t="e">
        <f>VLOOKUP($D102,#REF!, AC$1-21, FALSE)*V102</f>
        <v>#REF!</v>
      </c>
      <c r="AD102" s="218" t="e">
        <f>VLOOKUP($D102,#REF!, AD$1-21, FALSE)*W102</f>
        <v>#REF!</v>
      </c>
      <c r="AE102" s="219" t="e">
        <f t="shared" si="15"/>
        <v>#REF!</v>
      </c>
      <c r="AF102" s="248" t="e">
        <f>VLOOKUP($D102,#REF!, AF$1-22, FALSE)*Y102</f>
        <v>#REF!</v>
      </c>
      <c r="AG102" s="227" t="e">
        <f t="shared" si="11"/>
        <v>#REF!</v>
      </c>
      <c r="AH102" s="226" t="e">
        <f t="shared" si="12"/>
        <v>#REF!</v>
      </c>
      <c r="AI102" s="228" t="e">
        <f t="shared" si="13"/>
        <v>#REF!</v>
      </c>
      <c r="AJ102" s="137">
        <v>216784</v>
      </c>
      <c r="AK102" s="150" t="e">
        <f t="shared" si="14"/>
        <v>#REF!</v>
      </c>
      <c r="AL102" s="111" t="e">
        <f>VLOOKUP($D102,#REF!,9,FALSE)-AG102</f>
        <v>#REF!</v>
      </c>
      <c r="AM102" s="111" t="e">
        <f>VLOOKUP($D102,#REF!,10,FALSE)-AH102</f>
        <v>#REF!</v>
      </c>
    </row>
    <row r="103" spans="1:39" x14ac:dyDescent="0.3">
      <c r="A103" s="102">
        <v>100</v>
      </c>
      <c r="B103" s="103" t="s">
        <v>407</v>
      </c>
      <c r="C103" s="108" t="s">
        <v>350</v>
      </c>
      <c r="D103" s="98" t="s">
        <v>351</v>
      </c>
      <c r="E103" s="223">
        <v>1</v>
      </c>
      <c r="F103" s="224">
        <v>0</v>
      </c>
      <c r="G103" s="224">
        <v>2</v>
      </c>
      <c r="H103" s="224">
        <v>3</v>
      </c>
      <c r="I103" s="224">
        <v>0</v>
      </c>
      <c r="J103" s="219">
        <f t="shared" si="8"/>
        <v>6</v>
      </c>
      <c r="K103" s="225">
        <v>5</v>
      </c>
      <c r="L103" s="221">
        <v>0</v>
      </c>
      <c r="M103" s="222">
        <v>0</v>
      </c>
      <c r="N103" s="222">
        <v>0</v>
      </c>
      <c r="O103" s="222">
        <v>1</v>
      </c>
      <c r="P103" s="222">
        <v>0</v>
      </c>
      <c r="Q103" s="219">
        <f t="shared" si="9"/>
        <v>1</v>
      </c>
      <c r="R103" s="222">
        <v>0</v>
      </c>
      <c r="S103" s="223">
        <v>1</v>
      </c>
      <c r="T103" s="224">
        <v>0</v>
      </c>
      <c r="U103" s="224">
        <v>2</v>
      </c>
      <c r="V103" s="224">
        <v>4</v>
      </c>
      <c r="W103" s="224">
        <v>0</v>
      </c>
      <c r="X103" s="219">
        <f t="shared" si="10"/>
        <v>7</v>
      </c>
      <c r="Y103" s="225">
        <v>5</v>
      </c>
      <c r="Z103" s="247" t="e">
        <f>VLOOKUP($D103,#REF!, Z$1-21, FALSE)*S103</f>
        <v>#REF!</v>
      </c>
      <c r="AA103" s="218" t="e">
        <f>VLOOKUP($D103,#REF!, AA$1-21, FALSE)*T103</f>
        <v>#REF!</v>
      </c>
      <c r="AB103" s="218" t="e">
        <f>VLOOKUP($D103,#REF!, AB$1-21, FALSE)*U103</f>
        <v>#REF!</v>
      </c>
      <c r="AC103" s="218" t="e">
        <f>VLOOKUP($D103,#REF!, AC$1-21, FALSE)*V103</f>
        <v>#REF!</v>
      </c>
      <c r="AD103" s="218" t="e">
        <f>VLOOKUP($D103,#REF!, AD$1-21, FALSE)*W103</f>
        <v>#REF!</v>
      </c>
      <c r="AE103" s="219" t="e">
        <f t="shared" si="15"/>
        <v>#REF!</v>
      </c>
      <c r="AF103" s="248" t="e">
        <f>VLOOKUP($D103,#REF!, AF$1-22, FALSE)*Y103</f>
        <v>#REF!</v>
      </c>
      <c r="AG103" s="223" t="e">
        <f t="shared" si="11"/>
        <v>#REF!</v>
      </c>
      <c r="AH103" s="224" t="e">
        <f t="shared" si="12"/>
        <v>#REF!</v>
      </c>
      <c r="AI103" s="225" t="e">
        <f t="shared" si="13"/>
        <v>#REF!</v>
      </c>
      <c r="AJ103" s="137">
        <v>350518</v>
      </c>
      <c r="AK103" s="150" t="e">
        <f t="shared" si="14"/>
        <v>#REF!</v>
      </c>
      <c r="AL103" s="111" t="e">
        <f>VLOOKUP($D103,#REF!,9,FALSE)-AG103</f>
        <v>#REF!</v>
      </c>
      <c r="AM103" s="111" t="e">
        <f>VLOOKUP($D103,#REF!,10,FALSE)-AH103</f>
        <v>#REF!</v>
      </c>
    </row>
    <row r="104" spans="1:39" x14ac:dyDescent="0.3">
      <c r="A104" s="102">
        <v>101</v>
      </c>
      <c r="B104" s="151" t="s">
        <v>406</v>
      </c>
      <c r="C104" s="152" t="s">
        <v>255</v>
      </c>
      <c r="D104" s="153" t="s">
        <v>256</v>
      </c>
      <c r="E104" s="227">
        <v>0</v>
      </c>
      <c r="F104" s="226">
        <v>0</v>
      </c>
      <c r="G104" s="226">
        <v>2</v>
      </c>
      <c r="H104" s="226">
        <v>1</v>
      </c>
      <c r="I104" s="226">
        <v>1</v>
      </c>
      <c r="J104" s="219">
        <f t="shared" si="8"/>
        <v>4</v>
      </c>
      <c r="K104" s="228">
        <v>9</v>
      </c>
      <c r="L104" s="221">
        <v>0</v>
      </c>
      <c r="M104" s="222">
        <v>0</v>
      </c>
      <c r="N104" s="222">
        <v>0</v>
      </c>
      <c r="O104" s="222">
        <v>0</v>
      </c>
      <c r="P104" s="222">
        <v>0</v>
      </c>
      <c r="Q104" s="219">
        <f t="shared" si="9"/>
        <v>0</v>
      </c>
      <c r="R104" s="222">
        <v>0</v>
      </c>
      <c r="S104" s="227">
        <v>0</v>
      </c>
      <c r="T104" s="226">
        <v>0</v>
      </c>
      <c r="U104" s="226">
        <v>2</v>
      </c>
      <c r="V104" s="226">
        <v>1</v>
      </c>
      <c r="W104" s="226">
        <v>1</v>
      </c>
      <c r="X104" s="219">
        <f t="shared" si="10"/>
        <v>4</v>
      </c>
      <c r="Y104" s="228">
        <v>9</v>
      </c>
      <c r="Z104" s="247" t="e">
        <f>VLOOKUP($D104,#REF!, Z$1-21, FALSE)*S104</f>
        <v>#REF!</v>
      </c>
      <c r="AA104" s="218" t="e">
        <f>VLOOKUP($D104,#REF!, AA$1-21, FALSE)*T104</f>
        <v>#REF!</v>
      </c>
      <c r="AB104" s="218" t="e">
        <f>VLOOKUP($D104,#REF!, AB$1-21, FALSE)*U104</f>
        <v>#REF!</v>
      </c>
      <c r="AC104" s="218" t="e">
        <f>VLOOKUP($D104,#REF!, AC$1-21, FALSE)*V104</f>
        <v>#REF!</v>
      </c>
      <c r="AD104" s="218" t="e">
        <f>VLOOKUP($D104,#REF!, AD$1-21, FALSE)*W104</f>
        <v>#REF!</v>
      </c>
      <c r="AE104" s="219" t="e">
        <f t="shared" si="15"/>
        <v>#REF!</v>
      </c>
      <c r="AF104" s="248" t="e">
        <f>VLOOKUP($D104,#REF!, AF$1-22, FALSE)*Y104</f>
        <v>#REF!</v>
      </c>
      <c r="AG104" s="227" t="e">
        <f t="shared" si="11"/>
        <v>#REF!</v>
      </c>
      <c r="AH104" s="226" t="e">
        <f t="shared" si="12"/>
        <v>#REF!</v>
      </c>
      <c r="AI104" s="228" t="e">
        <f t="shared" si="13"/>
        <v>#REF!</v>
      </c>
      <c r="AJ104" s="137">
        <v>431003</v>
      </c>
      <c r="AK104" s="150" t="e">
        <f t="shared" si="14"/>
        <v>#REF!</v>
      </c>
      <c r="AL104" s="111" t="e">
        <f>VLOOKUP($D104,#REF!,9,FALSE)-AG104</f>
        <v>#REF!</v>
      </c>
      <c r="AM104" s="111" t="e">
        <f>VLOOKUP($D104,#REF!,10,FALSE)-AH104</f>
        <v>#REF!</v>
      </c>
    </row>
    <row r="105" spans="1:39" x14ac:dyDescent="0.3">
      <c r="A105" s="102">
        <v>102</v>
      </c>
      <c r="B105" s="103" t="s">
        <v>383</v>
      </c>
      <c r="C105" s="93" t="s">
        <v>257</v>
      </c>
      <c r="D105" s="94" t="s">
        <v>258</v>
      </c>
      <c r="E105" s="223">
        <v>0</v>
      </c>
      <c r="F105" s="224">
        <v>0</v>
      </c>
      <c r="G105" s="224">
        <v>1</v>
      </c>
      <c r="H105" s="224">
        <v>0</v>
      </c>
      <c r="I105" s="224">
        <v>0</v>
      </c>
      <c r="J105" s="219">
        <f t="shared" si="8"/>
        <v>1</v>
      </c>
      <c r="K105" s="225">
        <v>2</v>
      </c>
      <c r="L105" s="221">
        <v>0</v>
      </c>
      <c r="M105" s="222">
        <v>0</v>
      </c>
      <c r="N105" s="222">
        <v>-1</v>
      </c>
      <c r="O105" s="222">
        <v>0</v>
      </c>
      <c r="P105" s="222">
        <v>0</v>
      </c>
      <c r="Q105" s="219">
        <f t="shared" si="9"/>
        <v>-1</v>
      </c>
      <c r="R105" s="222">
        <v>-1</v>
      </c>
      <c r="S105" s="223">
        <v>0</v>
      </c>
      <c r="T105" s="224">
        <v>0</v>
      </c>
      <c r="U105" s="224">
        <v>0</v>
      </c>
      <c r="V105" s="224">
        <v>0</v>
      </c>
      <c r="W105" s="224">
        <v>0</v>
      </c>
      <c r="X105" s="219">
        <f t="shared" si="10"/>
        <v>0</v>
      </c>
      <c r="Y105" s="225">
        <v>1</v>
      </c>
      <c r="Z105" s="247" t="e">
        <f>VLOOKUP($D105,#REF!, Z$1-21, FALSE)*S105</f>
        <v>#REF!</v>
      </c>
      <c r="AA105" s="218" t="e">
        <f>VLOOKUP($D105,#REF!, AA$1-21, FALSE)*T105</f>
        <v>#REF!</v>
      </c>
      <c r="AB105" s="218" t="e">
        <f>VLOOKUP($D105,#REF!, AB$1-21, FALSE)*U105</f>
        <v>#REF!</v>
      </c>
      <c r="AC105" s="218" t="e">
        <f>VLOOKUP($D105,#REF!, AC$1-21, FALSE)*V105</f>
        <v>#REF!</v>
      </c>
      <c r="AD105" s="218" t="e">
        <f>VLOOKUP($D105,#REF!, AD$1-21, FALSE)*W105</f>
        <v>#REF!</v>
      </c>
      <c r="AE105" s="219" t="e">
        <f t="shared" si="15"/>
        <v>#REF!</v>
      </c>
      <c r="AF105" s="248" t="e">
        <f>VLOOKUP($D105,#REF!, AF$1-22, FALSE)*Y105</f>
        <v>#REF!</v>
      </c>
      <c r="AG105" s="223" t="e">
        <f t="shared" si="11"/>
        <v>#REF!</v>
      </c>
      <c r="AH105" s="224" t="e">
        <f t="shared" si="12"/>
        <v>#REF!</v>
      </c>
      <c r="AI105" s="225" t="e">
        <f t="shared" si="13"/>
        <v>#REF!</v>
      </c>
      <c r="AJ105" s="137">
        <v>475265</v>
      </c>
      <c r="AK105" s="150" t="e">
        <f t="shared" si="14"/>
        <v>#REF!</v>
      </c>
      <c r="AL105" s="111" t="e">
        <f>VLOOKUP($D105,#REF!,9,FALSE)-AG105</f>
        <v>#REF!</v>
      </c>
      <c r="AM105" s="111" t="e">
        <f>VLOOKUP($D105,#REF!,10,FALSE)-AH105</f>
        <v>#REF!</v>
      </c>
    </row>
    <row r="106" spans="1:39" x14ac:dyDescent="0.3">
      <c r="A106" s="102">
        <v>103</v>
      </c>
      <c r="B106" s="103" t="s">
        <v>259</v>
      </c>
      <c r="C106" s="93" t="s">
        <v>260</v>
      </c>
      <c r="D106" s="94" t="s">
        <v>261</v>
      </c>
      <c r="E106" s="223">
        <v>0</v>
      </c>
      <c r="F106" s="224">
        <v>1</v>
      </c>
      <c r="G106" s="224">
        <v>1</v>
      </c>
      <c r="H106" s="224">
        <v>1</v>
      </c>
      <c r="I106" s="224">
        <v>0</v>
      </c>
      <c r="J106" s="219">
        <f t="shared" si="8"/>
        <v>3</v>
      </c>
      <c r="K106" s="225">
        <v>4</v>
      </c>
      <c r="L106" s="221">
        <v>0</v>
      </c>
      <c r="M106" s="222">
        <v>0</v>
      </c>
      <c r="N106" s="222">
        <v>0</v>
      </c>
      <c r="O106" s="222">
        <v>1</v>
      </c>
      <c r="P106" s="222">
        <v>0</v>
      </c>
      <c r="Q106" s="219">
        <f t="shared" si="9"/>
        <v>1</v>
      </c>
      <c r="R106" s="222">
        <v>0</v>
      </c>
      <c r="S106" s="223">
        <v>0</v>
      </c>
      <c r="T106" s="224">
        <v>1</v>
      </c>
      <c r="U106" s="224">
        <v>1</v>
      </c>
      <c r="V106" s="224">
        <v>2</v>
      </c>
      <c r="W106" s="224">
        <v>0</v>
      </c>
      <c r="X106" s="219">
        <f t="shared" si="10"/>
        <v>4</v>
      </c>
      <c r="Y106" s="225">
        <v>4</v>
      </c>
      <c r="Z106" s="247" t="e">
        <f>VLOOKUP($D106,#REF!, Z$1-21, FALSE)*S106</f>
        <v>#REF!</v>
      </c>
      <c r="AA106" s="218" t="e">
        <f>VLOOKUP($D106,#REF!, AA$1-21, FALSE)*T106</f>
        <v>#REF!</v>
      </c>
      <c r="AB106" s="218" t="e">
        <f>VLOOKUP($D106,#REF!, AB$1-21, FALSE)*U106</f>
        <v>#REF!</v>
      </c>
      <c r="AC106" s="218" t="e">
        <f>VLOOKUP($D106,#REF!, AC$1-21, FALSE)*V106</f>
        <v>#REF!</v>
      </c>
      <c r="AD106" s="218" t="e">
        <f>VLOOKUP($D106,#REF!, AD$1-21, FALSE)*W106</f>
        <v>#REF!</v>
      </c>
      <c r="AE106" s="219" t="e">
        <f t="shared" si="15"/>
        <v>#REF!</v>
      </c>
      <c r="AF106" s="248" t="e">
        <f>VLOOKUP($D106,#REF!, AF$1-22, FALSE)*Y106</f>
        <v>#REF!</v>
      </c>
      <c r="AG106" s="223" t="e">
        <f t="shared" si="11"/>
        <v>#REF!</v>
      </c>
      <c r="AH106" s="224" t="e">
        <f t="shared" si="12"/>
        <v>#REF!</v>
      </c>
      <c r="AI106" s="225" t="e">
        <f t="shared" si="13"/>
        <v>#REF!</v>
      </c>
      <c r="AJ106" s="137">
        <v>247230</v>
      </c>
      <c r="AK106" s="150" t="e">
        <f t="shared" si="14"/>
        <v>#REF!</v>
      </c>
      <c r="AL106" s="111" t="e">
        <f>VLOOKUP($D106,#REF!,9,FALSE)-AG106</f>
        <v>#REF!</v>
      </c>
      <c r="AM106" s="111" t="e">
        <f>VLOOKUP($D106,#REF!,10,FALSE)-AH106</f>
        <v>#REF!</v>
      </c>
    </row>
    <row r="107" spans="1:39" x14ac:dyDescent="0.3">
      <c r="A107" s="102">
        <v>104</v>
      </c>
      <c r="B107" s="103" t="s">
        <v>417</v>
      </c>
      <c r="C107" s="93" t="s">
        <v>262</v>
      </c>
      <c r="D107" s="94" t="s">
        <v>263</v>
      </c>
      <c r="E107" s="223">
        <v>0</v>
      </c>
      <c r="F107" s="224">
        <v>0</v>
      </c>
      <c r="G107" s="224">
        <v>1</v>
      </c>
      <c r="H107" s="224">
        <v>0</v>
      </c>
      <c r="I107" s="224">
        <v>1</v>
      </c>
      <c r="J107" s="219">
        <f t="shared" si="8"/>
        <v>2</v>
      </c>
      <c r="K107" s="225">
        <v>3</v>
      </c>
      <c r="L107" s="221">
        <v>0</v>
      </c>
      <c r="M107" s="222">
        <v>0</v>
      </c>
      <c r="N107" s="222">
        <v>0</v>
      </c>
      <c r="O107" s="222">
        <v>0</v>
      </c>
      <c r="P107" s="222">
        <v>0</v>
      </c>
      <c r="Q107" s="219">
        <f t="shared" si="9"/>
        <v>0</v>
      </c>
      <c r="R107" s="222">
        <v>0</v>
      </c>
      <c r="S107" s="223">
        <v>0</v>
      </c>
      <c r="T107" s="224">
        <v>0</v>
      </c>
      <c r="U107" s="224">
        <v>1</v>
      </c>
      <c r="V107" s="224">
        <v>0</v>
      </c>
      <c r="W107" s="224">
        <v>1</v>
      </c>
      <c r="X107" s="219">
        <f t="shared" si="10"/>
        <v>2</v>
      </c>
      <c r="Y107" s="225">
        <v>3</v>
      </c>
      <c r="Z107" s="247" t="e">
        <f>VLOOKUP($D107,#REF!, Z$1-21, FALSE)*S107</f>
        <v>#REF!</v>
      </c>
      <c r="AA107" s="218" t="e">
        <f>VLOOKUP($D107,#REF!, AA$1-21, FALSE)*T107</f>
        <v>#REF!</v>
      </c>
      <c r="AB107" s="218" t="e">
        <f>VLOOKUP($D107,#REF!, AB$1-21, FALSE)*U107</f>
        <v>#REF!</v>
      </c>
      <c r="AC107" s="218" t="e">
        <f>VLOOKUP($D107,#REF!, AC$1-21, FALSE)*V107</f>
        <v>#REF!</v>
      </c>
      <c r="AD107" s="218" t="e">
        <f>VLOOKUP($D107,#REF!, AD$1-21, FALSE)*W107</f>
        <v>#REF!</v>
      </c>
      <c r="AE107" s="219" t="e">
        <f t="shared" si="15"/>
        <v>#REF!</v>
      </c>
      <c r="AF107" s="248" t="e">
        <f>VLOOKUP($D107,#REF!, AF$1-22, FALSE)*Y107</f>
        <v>#REF!</v>
      </c>
      <c r="AG107" s="223" t="e">
        <f t="shared" si="11"/>
        <v>#REF!</v>
      </c>
      <c r="AH107" s="224" t="e">
        <f t="shared" si="12"/>
        <v>#REF!</v>
      </c>
      <c r="AI107" s="225" t="e">
        <f t="shared" si="13"/>
        <v>#REF!</v>
      </c>
      <c r="AJ107" s="137">
        <v>259029</v>
      </c>
      <c r="AK107" s="150" t="e">
        <f t="shared" si="14"/>
        <v>#REF!</v>
      </c>
      <c r="AL107" s="111" t="e">
        <f>VLOOKUP($D107,#REF!,9,FALSE)-AG107</f>
        <v>#REF!</v>
      </c>
      <c r="AM107" s="111" t="e">
        <f>VLOOKUP($D107,#REF!,10,FALSE)-AH107</f>
        <v>#REF!</v>
      </c>
    </row>
    <row r="108" spans="1:39" x14ac:dyDescent="0.3">
      <c r="A108" s="102">
        <v>105</v>
      </c>
      <c r="B108" s="103" t="s">
        <v>266</v>
      </c>
      <c r="C108" s="93" t="s">
        <v>267</v>
      </c>
      <c r="D108" s="94" t="s">
        <v>268</v>
      </c>
      <c r="E108" s="223">
        <v>0</v>
      </c>
      <c r="F108" s="224">
        <v>0</v>
      </c>
      <c r="G108" s="224">
        <v>1</v>
      </c>
      <c r="H108" s="224">
        <v>0</v>
      </c>
      <c r="I108" s="224">
        <v>0</v>
      </c>
      <c r="J108" s="219">
        <f t="shared" si="8"/>
        <v>1</v>
      </c>
      <c r="K108" s="225">
        <v>2</v>
      </c>
      <c r="L108" s="221">
        <v>0</v>
      </c>
      <c r="M108" s="222">
        <v>0</v>
      </c>
      <c r="N108" s="222">
        <v>1</v>
      </c>
      <c r="O108" s="222">
        <v>0</v>
      </c>
      <c r="P108" s="222">
        <v>0</v>
      </c>
      <c r="Q108" s="219">
        <f t="shared" si="9"/>
        <v>1</v>
      </c>
      <c r="R108" s="222">
        <v>0</v>
      </c>
      <c r="S108" s="223">
        <v>0</v>
      </c>
      <c r="T108" s="224">
        <v>0</v>
      </c>
      <c r="U108" s="224">
        <v>2</v>
      </c>
      <c r="V108" s="224">
        <v>0</v>
      </c>
      <c r="W108" s="224">
        <v>0</v>
      </c>
      <c r="X108" s="219">
        <f t="shared" si="10"/>
        <v>2</v>
      </c>
      <c r="Y108" s="225">
        <v>2</v>
      </c>
      <c r="Z108" s="247" t="e">
        <f>VLOOKUP($D108,#REF!, Z$1-21, FALSE)*S108</f>
        <v>#REF!</v>
      </c>
      <c r="AA108" s="218" t="e">
        <f>VLOOKUP($D108,#REF!, AA$1-21, FALSE)*T108</f>
        <v>#REF!</v>
      </c>
      <c r="AB108" s="218" t="e">
        <f>VLOOKUP($D108,#REF!, AB$1-21, FALSE)*U108</f>
        <v>#REF!</v>
      </c>
      <c r="AC108" s="218" t="e">
        <f>VLOOKUP($D108,#REF!, AC$1-21, FALSE)*V108</f>
        <v>#REF!</v>
      </c>
      <c r="AD108" s="218" t="e">
        <f>VLOOKUP($D108,#REF!, AD$1-21, FALSE)*W108</f>
        <v>#REF!</v>
      </c>
      <c r="AE108" s="219" t="e">
        <f t="shared" si="15"/>
        <v>#REF!</v>
      </c>
      <c r="AF108" s="248" t="e">
        <f>VLOOKUP($D108,#REF!, AF$1-22, FALSE)*Y108</f>
        <v>#REF!</v>
      </c>
      <c r="AG108" s="223" t="e">
        <f t="shared" si="11"/>
        <v>#REF!</v>
      </c>
      <c r="AH108" s="224" t="e">
        <f t="shared" si="12"/>
        <v>#REF!</v>
      </c>
      <c r="AI108" s="225" t="e">
        <f t="shared" si="13"/>
        <v>#REF!</v>
      </c>
      <c r="AJ108" s="137">
        <v>278166</v>
      </c>
      <c r="AK108" s="150" t="e">
        <f t="shared" si="14"/>
        <v>#REF!</v>
      </c>
      <c r="AL108" s="111" t="e">
        <f>VLOOKUP($D108,#REF!,9,FALSE)-AG108</f>
        <v>#REF!</v>
      </c>
      <c r="AM108" s="111" t="e">
        <f>VLOOKUP($D108,#REF!,10,FALSE)-AH108</f>
        <v>#REF!</v>
      </c>
    </row>
    <row r="109" spans="1:39" x14ac:dyDescent="0.3">
      <c r="A109" s="102">
        <v>106</v>
      </c>
      <c r="B109" s="103" t="s">
        <v>384</v>
      </c>
      <c r="C109" s="93" t="s">
        <v>269</v>
      </c>
      <c r="D109" s="94" t="s">
        <v>270</v>
      </c>
      <c r="E109" s="223">
        <v>0</v>
      </c>
      <c r="F109" s="224">
        <v>0</v>
      </c>
      <c r="G109" s="224">
        <v>1</v>
      </c>
      <c r="H109" s="224">
        <v>0</v>
      </c>
      <c r="I109" s="224">
        <v>0</v>
      </c>
      <c r="J109" s="219">
        <f t="shared" si="8"/>
        <v>1</v>
      </c>
      <c r="K109" s="225">
        <v>2</v>
      </c>
      <c r="L109" s="221">
        <v>0</v>
      </c>
      <c r="M109" s="222">
        <v>0</v>
      </c>
      <c r="N109" s="222">
        <v>0</v>
      </c>
      <c r="O109" s="222">
        <v>0</v>
      </c>
      <c r="P109" s="222">
        <v>0</v>
      </c>
      <c r="Q109" s="219">
        <f t="shared" si="9"/>
        <v>0</v>
      </c>
      <c r="R109" s="222">
        <v>0</v>
      </c>
      <c r="S109" s="223">
        <v>0</v>
      </c>
      <c r="T109" s="224">
        <v>0</v>
      </c>
      <c r="U109" s="224">
        <v>1</v>
      </c>
      <c r="V109" s="224">
        <v>0</v>
      </c>
      <c r="W109" s="224">
        <v>0</v>
      </c>
      <c r="X109" s="219">
        <f t="shared" si="10"/>
        <v>1</v>
      </c>
      <c r="Y109" s="225">
        <v>2</v>
      </c>
      <c r="Z109" s="247" t="e">
        <f>VLOOKUP($D109,#REF!, Z$1-21, FALSE)*S109</f>
        <v>#REF!</v>
      </c>
      <c r="AA109" s="218" t="e">
        <f>VLOOKUP($D109,#REF!, AA$1-21, FALSE)*T109</f>
        <v>#REF!</v>
      </c>
      <c r="AB109" s="218" t="e">
        <f>VLOOKUP($D109,#REF!, AB$1-21, FALSE)*U109</f>
        <v>#REF!</v>
      </c>
      <c r="AC109" s="218" t="e">
        <f>VLOOKUP($D109,#REF!, AC$1-21, FALSE)*V109</f>
        <v>#REF!</v>
      </c>
      <c r="AD109" s="218" t="e">
        <f>VLOOKUP($D109,#REF!, AD$1-21, FALSE)*W109</f>
        <v>#REF!</v>
      </c>
      <c r="AE109" s="219" t="e">
        <f t="shared" si="15"/>
        <v>#REF!</v>
      </c>
      <c r="AF109" s="248" t="e">
        <f>VLOOKUP($D109,#REF!, AF$1-22, FALSE)*Y109</f>
        <v>#REF!</v>
      </c>
      <c r="AG109" s="223" t="e">
        <f t="shared" si="11"/>
        <v>#REF!</v>
      </c>
      <c r="AH109" s="224" t="e">
        <f t="shared" si="12"/>
        <v>#REF!</v>
      </c>
      <c r="AI109" s="225" t="e">
        <f t="shared" si="13"/>
        <v>#REF!</v>
      </c>
      <c r="AJ109" s="137">
        <v>228908</v>
      </c>
      <c r="AK109" s="150" t="e">
        <f t="shared" si="14"/>
        <v>#REF!</v>
      </c>
      <c r="AL109" s="111" t="e">
        <f>VLOOKUP($D109,#REF!,9,FALSE)-AG109</f>
        <v>#REF!</v>
      </c>
      <c r="AM109" s="111" t="e">
        <f>VLOOKUP($D109,#REF!,10,FALSE)-AH109</f>
        <v>#REF!</v>
      </c>
    </row>
    <row r="110" spans="1:39" x14ac:dyDescent="0.3">
      <c r="A110" s="102">
        <v>107</v>
      </c>
      <c r="B110" s="103" t="s">
        <v>342</v>
      </c>
      <c r="C110" s="93" t="s">
        <v>341</v>
      </c>
      <c r="D110" s="94" t="s">
        <v>343</v>
      </c>
      <c r="E110" s="223">
        <v>0</v>
      </c>
      <c r="F110" s="224">
        <v>0</v>
      </c>
      <c r="G110" s="224">
        <v>1</v>
      </c>
      <c r="H110" s="224">
        <v>0</v>
      </c>
      <c r="I110" s="224">
        <v>0</v>
      </c>
      <c r="J110" s="219">
        <f t="shared" si="8"/>
        <v>1</v>
      </c>
      <c r="K110" s="225">
        <v>2</v>
      </c>
      <c r="L110" s="221">
        <v>0</v>
      </c>
      <c r="M110" s="222">
        <v>0</v>
      </c>
      <c r="N110" s="222">
        <v>0</v>
      </c>
      <c r="O110" s="222">
        <v>0</v>
      </c>
      <c r="P110" s="222">
        <v>0</v>
      </c>
      <c r="Q110" s="219">
        <f t="shared" si="9"/>
        <v>0</v>
      </c>
      <c r="R110" s="222">
        <v>0</v>
      </c>
      <c r="S110" s="223">
        <v>0</v>
      </c>
      <c r="T110" s="224">
        <v>0</v>
      </c>
      <c r="U110" s="224">
        <v>1</v>
      </c>
      <c r="V110" s="224">
        <v>0</v>
      </c>
      <c r="W110" s="224">
        <v>0</v>
      </c>
      <c r="X110" s="219">
        <f t="shared" si="10"/>
        <v>1</v>
      </c>
      <c r="Y110" s="225">
        <v>2</v>
      </c>
      <c r="Z110" s="247" t="e">
        <f>VLOOKUP($D110,#REF!, Z$1-21, FALSE)*S110</f>
        <v>#REF!</v>
      </c>
      <c r="AA110" s="218" t="e">
        <f>VLOOKUP($D110,#REF!, AA$1-21, FALSE)*T110</f>
        <v>#REF!</v>
      </c>
      <c r="AB110" s="218" t="e">
        <f>VLOOKUP($D110,#REF!, AB$1-21, FALSE)*U110</f>
        <v>#REF!</v>
      </c>
      <c r="AC110" s="218" t="e">
        <f>VLOOKUP($D110,#REF!, AC$1-21, FALSE)*V110</f>
        <v>#REF!</v>
      </c>
      <c r="AD110" s="218" t="e">
        <f>VLOOKUP($D110,#REF!, AD$1-21, FALSE)*W110</f>
        <v>#REF!</v>
      </c>
      <c r="AE110" s="219" t="e">
        <f t="shared" si="15"/>
        <v>#REF!</v>
      </c>
      <c r="AF110" s="248" t="e">
        <f>VLOOKUP($D110,#REF!, AF$1-22, FALSE)*Y110</f>
        <v>#REF!</v>
      </c>
      <c r="AG110" s="223" t="e">
        <f t="shared" si="11"/>
        <v>#REF!</v>
      </c>
      <c r="AH110" s="224" t="e">
        <f t="shared" si="12"/>
        <v>#REF!</v>
      </c>
      <c r="AI110" s="225" t="e">
        <f t="shared" si="13"/>
        <v>#REF!</v>
      </c>
      <c r="AJ110" s="137">
        <v>512836</v>
      </c>
      <c r="AK110" s="150" t="e">
        <f t="shared" si="14"/>
        <v>#REF!</v>
      </c>
      <c r="AL110" s="111" t="e">
        <f>VLOOKUP($D110,#REF!,9,FALSE)-AG110</f>
        <v>#REF!</v>
      </c>
      <c r="AM110" s="111" t="e">
        <f>VLOOKUP($D110,#REF!,10,FALSE)-AH110</f>
        <v>#REF!</v>
      </c>
    </row>
    <row r="111" spans="1:39" x14ac:dyDescent="0.3">
      <c r="A111" s="102">
        <v>108</v>
      </c>
      <c r="B111" s="103" t="s">
        <v>271</v>
      </c>
      <c r="C111" s="93" t="s">
        <v>272</v>
      </c>
      <c r="D111" s="94" t="s">
        <v>273</v>
      </c>
      <c r="E111" s="223">
        <v>0</v>
      </c>
      <c r="F111" s="224">
        <v>0</v>
      </c>
      <c r="G111" s="224">
        <v>1</v>
      </c>
      <c r="H111" s="224">
        <v>0</v>
      </c>
      <c r="I111" s="224">
        <v>0</v>
      </c>
      <c r="J111" s="219">
        <f t="shared" si="8"/>
        <v>1</v>
      </c>
      <c r="K111" s="225">
        <v>2</v>
      </c>
      <c r="L111" s="221">
        <v>0</v>
      </c>
      <c r="M111" s="222">
        <v>0</v>
      </c>
      <c r="N111" s="222">
        <v>0</v>
      </c>
      <c r="O111" s="222">
        <v>0</v>
      </c>
      <c r="P111" s="222">
        <v>0</v>
      </c>
      <c r="Q111" s="219">
        <f t="shared" si="9"/>
        <v>0</v>
      </c>
      <c r="R111" s="222">
        <v>0</v>
      </c>
      <c r="S111" s="223">
        <v>0</v>
      </c>
      <c r="T111" s="224">
        <v>0</v>
      </c>
      <c r="U111" s="224">
        <v>1</v>
      </c>
      <c r="V111" s="224">
        <v>0</v>
      </c>
      <c r="W111" s="224">
        <v>0</v>
      </c>
      <c r="X111" s="219">
        <f t="shared" si="10"/>
        <v>1</v>
      </c>
      <c r="Y111" s="225">
        <v>2</v>
      </c>
      <c r="Z111" s="247" t="e">
        <f>VLOOKUP($D111,#REF!, Z$1-21, FALSE)*S111</f>
        <v>#REF!</v>
      </c>
      <c r="AA111" s="218" t="e">
        <f>VLOOKUP($D111,#REF!, AA$1-21, FALSE)*T111</f>
        <v>#REF!</v>
      </c>
      <c r="AB111" s="218" t="e">
        <f>VLOOKUP($D111,#REF!, AB$1-21, FALSE)*U111</f>
        <v>#REF!</v>
      </c>
      <c r="AC111" s="218" t="e">
        <f>VLOOKUP($D111,#REF!, AC$1-21, FALSE)*V111</f>
        <v>#REF!</v>
      </c>
      <c r="AD111" s="218" t="e">
        <f>VLOOKUP($D111,#REF!, AD$1-21, FALSE)*W111</f>
        <v>#REF!</v>
      </c>
      <c r="AE111" s="219" t="e">
        <f t="shared" si="15"/>
        <v>#REF!</v>
      </c>
      <c r="AF111" s="248" t="e">
        <f>VLOOKUP($D111,#REF!, AF$1-22, FALSE)*Y111</f>
        <v>#REF!</v>
      </c>
      <c r="AG111" s="223" t="e">
        <f t="shared" si="11"/>
        <v>#REF!</v>
      </c>
      <c r="AH111" s="224" t="e">
        <f t="shared" si="12"/>
        <v>#REF!</v>
      </c>
      <c r="AI111" s="225" t="e">
        <f t="shared" si="13"/>
        <v>#REF!</v>
      </c>
      <c r="AJ111" s="137">
        <v>257214</v>
      </c>
      <c r="AK111" s="150" t="e">
        <f t="shared" si="14"/>
        <v>#REF!</v>
      </c>
      <c r="AL111" s="111" t="e">
        <f>VLOOKUP($D111,#REF!,9,FALSE)-AG111</f>
        <v>#REF!</v>
      </c>
      <c r="AM111" s="111" t="e">
        <f>VLOOKUP($D111,#REF!,10,FALSE)-AH111</f>
        <v>#REF!</v>
      </c>
    </row>
    <row r="112" spans="1:39" x14ac:dyDescent="0.3">
      <c r="A112" s="102">
        <v>109</v>
      </c>
      <c r="B112" s="103" t="s">
        <v>274</v>
      </c>
      <c r="C112" s="93" t="s">
        <v>275</v>
      </c>
      <c r="D112" s="94" t="s">
        <v>276</v>
      </c>
      <c r="E112" s="223">
        <v>0</v>
      </c>
      <c r="F112" s="224">
        <v>0</v>
      </c>
      <c r="G112" s="224">
        <v>1</v>
      </c>
      <c r="H112" s="224">
        <v>1</v>
      </c>
      <c r="I112" s="224">
        <v>0</v>
      </c>
      <c r="J112" s="219">
        <f t="shared" si="8"/>
        <v>2</v>
      </c>
      <c r="K112" s="225">
        <v>3</v>
      </c>
      <c r="L112" s="221">
        <v>0</v>
      </c>
      <c r="M112" s="222">
        <v>0</v>
      </c>
      <c r="N112" s="222">
        <v>0</v>
      </c>
      <c r="O112" s="222">
        <v>0</v>
      </c>
      <c r="P112" s="222">
        <v>0</v>
      </c>
      <c r="Q112" s="219">
        <f t="shared" si="9"/>
        <v>0</v>
      </c>
      <c r="R112" s="222">
        <v>0</v>
      </c>
      <c r="S112" s="223">
        <v>0</v>
      </c>
      <c r="T112" s="224">
        <v>0</v>
      </c>
      <c r="U112" s="224">
        <v>1</v>
      </c>
      <c r="V112" s="224">
        <v>1</v>
      </c>
      <c r="W112" s="224">
        <v>0</v>
      </c>
      <c r="X112" s="219">
        <f t="shared" si="10"/>
        <v>2</v>
      </c>
      <c r="Y112" s="225">
        <v>3</v>
      </c>
      <c r="Z112" s="247" t="e">
        <f>VLOOKUP($D112,#REF!, Z$1-21, FALSE)*S112</f>
        <v>#REF!</v>
      </c>
      <c r="AA112" s="218" t="e">
        <f>VLOOKUP($D112,#REF!, AA$1-21, FALSE)*T112</f>
        <v>#REF!</v>
      </c>
      <c r="AB112" s="218" t="e">
        <f>VLOOKUP($D112,#REF!, AB$1-21, FALSE)*U112</f>
        <v>#REF!</v>
      </c>
      <c r="AC112" s="218" t="e">
        <f>VLOOKUP($D112,#REF!, AC$1-21, FALSE)*V112</f>
        <v>#REF!</v>
      </c>
      <c r="AD112" s="218" t="e">
        <f>VLOOKUP($D112,#REF!, AD$1-21, FALSE)*W112</f>
        <v>#REF!</v>
      </c>
      <c r="AE112" s="219" t="e">
        <f t="shared" si="15"/>
        <v>#REF!</v>
      </c>
      <c r="AF112" s="248" t="e">
        <f>VLOOKUP($D112,#REF!, AF$1-22, FALSE)*Y112</f>
        <v>#REF!</v>
      </c>
      <c r="AG112" s="223" t="e">
        <f t="shared" si="11"/>
        <v>#REF!</v>
      </c>
      <c r="AH112" s="224" t="e">
        <f t="shared" si="12"/>
        <v>#REF!</v>
      </c>
      <c r="AI112" s="225" t="e">
        <f t="shared" si="13"/>
        <v>#REF!</v>
      </c>
      <c r="AJ112" s="137">
        <v>632090</v>
      </c>
      <c r="AK112" s="150" t="e">
        <f t="shared" si="14"/>
        <v>#REF!</v>
      </c>
      <c r="AL112" s="111" t="e">
        <f>VLOOKUP($D112,#REF!,9,FALSE)-AG112</f>
        <v>#REF!</v>
      </c>
      <c r="AM112" s="111" t="e">
        <f>VLOOKUP($D112,#REF!,10,FALSE)-AH112</f>
        <v>#REF!</v>
      </c>
    </row>
    <row r="113" spans="1:39" x14ac:dyDescent="0.3">
      <c r="A113" s="102">
        <v>110</v>
      </c>
      <c r="B113" s="103" t="s">
        <v>418</v>
      </c>
      <c r="C113" s="93" t="s">
        <v>277</v>
      </c>
      <c r="D113" s="94" t="s">
        <v>278</v>
      </c>
      <c r="E113" s="223">
        <v>0</v>
      </c>
      <c r="F113" s="224">
        <v>0</v>
      </c>
      <c r="G113" s="224">
        <v>1</v>
      </c>
      <c r="H113" s="224">
        <v>0</v>
      </c>
      <c r="I113" s="224">
        <v>0</v>
      </c>
      <c r="J113" s="219">
        <f t="shared" si="8"/>
        <v>1</v>
      </c>
      <c r="K113" s="225">
        <v>2</v>
      </c>
      <c r="L113" s="221">
        <v>0</v>
      </c>
      <c r="M113" s="222">
        <v>0</v>
      </c>
      <c r="N113" s="222">
        <v>0</v>
      </c>
      <c r="O113" s="222">
        <v>0</v>
      </c>
      <c r="P113" s="222">
        <v>0</v>
      </c>
      <c r="Q113" s="219">
        <f t="shared" si="9"/>
        <v>0</v>
      </c>
      <c r="R113" s="222">
        <v>0</v>
      </c>
      <c r="S113" s="223">
        <v>0</v>
      </c>
      <c r="T113" s="224">
        <v>0</v>
      </c>
      <c r="U113" s="224">
        <v>1</v>
      </c>
      <c r="V113" s="224">
        <v>0</v>
      </c>
      <c r="W113" s="224">
        <v>0</v>
      </c>
      <c r="X113" s="219">
        <f t="shared" si="10"/>
        <v>1</v>
      </c>
      <c r="Y113" s="225">
        <v>2</v>
      </c>
      <c r="Z113" s="247" t="e">
        <f>VLOOKUP($D113,#REF!, Z$1-21, FALSE)*S113</f>
        <v>#REF!</v>
      </c>
      <c r="AA113" s="218" t="e">
        <f>VLOOKUP($D113,#REF!, AA$1-21, FALSE)*T113</f>
        <v>#REF!</v>
      </c>
      <c r="AB113" s="218" t="e">
        <f>VLOOKUP($D113,#REF!, AB$1-21, FALSE)*U113</f>
        <v>#REF!</v>
      </c>
      <c r="AC113" s="218" t="e">
        <f>VLOOKUP($D113,#REF!, AC$1-21, FALSE)*V113</f>
        <v>#REF!</v>
      </c>
      <c r="AD113" s="218" t="e">
        <f>VLOOKUP($D113,#REF!, AD$1-21, FALSE)*W113</f>
        <v>#REF!</v>
      </c>
      <c r="AE113" s="219" t="e">
        <f t="shared" si="15"/>
        <v>#REF!</v>
      </c>
      <c r="AF113" s="248" t="e">
        <f>VLOOKUP($D113,#REF!, AF$1-22, FALSE)*Y113</f>
        <v>#REF!</v>
      </c>
      <c r="AG113" s="223" t="e">
        <f t="shared" si="11"/>
        <v>#REF!</v>
      </c>
      <c r="AH113" s="224" t="e">
        <f t="shared" si="12"/>
        <v>#REF!</v>
      </c>
      <c r="AI113" s="225" t="e">
        <f t="shared" si="13"/>
        <v>#REF!</v>
      </c>
      <c r="AJ113" s="137">
        <v>258662</v>
      </c>
      <c r="AK113" s="150" t="e">
        <f t="shared" si="14"/>
        <v>#REF!</v>
      </c>
      <c r="AL113" s="111" t="e">
        <f>VLOOKUP($D113,#REF!,9,FALSE)-AG113</f>
        <v>#REF!</v>
      </c>
      <c r="AM113" s="111" t="e">
        <f>VLOOKUP($D113,#REF!,10,FALSE)-AH113</f>
        <v>#REF!</v>
      </c>
    </row>
    <row r="114" spans="1:39" x14ac:dyDescent="0.3">
      <c r="A114" s="102">
        <v>111</v>
      </c>
      <c r="B114" s="103" t="s">
        <v>279</v>
      </c>
      <c r="C114" s="93" t="s">
        <v>280</v>
      </c>
      <c r="D114" s="94" t="s">
        <v>281</v>
      </c>
      <c r="E114" s="223">
        <v>0</v>
      </c>
      <c r="F114" s="224">
        <v>0</v>
      </c>
      <c r="G114" s="224">
        <v>1</v>
      </c>
      <c r="H114" s="224">
        <v>2</v>
      </c>
      <c r="I114" s="224">
        <v>0</v>
      </c>
      <c r="J114" s="219">
        <f t="shared" si="8"/>
        <v>3</v>
      </c>
      <c r="K114" s="225">
        <v>4</v>
      </c>
      <c r="L114" s="221">
        <v>0</v>
      </c>
      <c r="M114" s="222">
        <v>0</v>
      </c>
      <c r="N114" s="222">
        <v>0</v>
      </c>
      <c r="O114" s="222">
        <v>-1</v>
      </c>
      <c r="P114" s="222">
        <v>0</v>
      </c>
      <c r="Q114" s="219">
        <f t="shared" si="9"/>
        <v>-1</v>
      </c>
      <c r="R114" s="222">
        <v>-1</v>
      </c>
      <c r="S114" s="223">
        <v>0</v>
      </c>
      <c r="T114" s="224">
        <v>0</v>
      </c>
      <c r="U114" s="224">
        <v>1</v>
      </c>
      <c r="V114" s="224">
        <v>1</v>
      </c>
      <c r="W114" s="224">
        <v>0</v>
      </c>
      <c r="X114" s="219">
        <f t="shared" si="10"/>
        <v>2</v>
      </c>
      <c r="Y114" s="225">
        <v>3</v>
      </c>
      <c r="Z114" s="247" t="e">
        <f>VLOOKUP($D114,#REF!, Z$1-21, FALSE)*S114</f>
        <v>#REF!</v>
      </c>
      <c r="AA114" s="218" t="e">
        <f>VLOOKUP($D114,#REF!, AA$1-21, FALSE)*T114</f>
        <v>#REF!</v>
      </c>
      <c r="AB114" s="218" t="e">
        <f>VLOOKUP($D114,#REF!, AB$1-21, FALSE)*U114</f>
        <v>#REF!</v>
      </c>
      <c r="AC114" s="218" t="e">
        <f>VLOOKUP($D114,#REF!, AC$1-21, FALSE)*V114</f>
        <v>#REF!</v>
      </c>
      <c r="AD114" s="218" t="e">
        <f>VLOOKUP($D114,#REF!, AD$1-21, FALSE)*W114</f>
        <v>#REF!</v>
      </c>
      <c r="AE114" s="219" t="e">
        <f t="shared" si="15"/>
        <v>#REF!</v>
      </c>
      <c r="AF114" s="248" t="e">
        <f>VLOOKUP($D114,#REF!, AF$1-22, FALSE)*Y114</f>
        <v>#REF!</v>
      </c>
      <c r="AG114" s="223" t="e">
        <f t="shared" si="11"/>
        <v>#REF!</v>
      </c>
      <c r="AH114" s="224" t="e">
        <f t="shared" si="12"/>
        <v>#REF!</v>
      </c>
      <c r="AI114" s="225" t="e">
        <f t="shared" si="13"/>
        <v>#REF!</v>
      </c>
      <c r="AJ114" s="137">
        <v>1004774</v>
      </c>
      <c r="AK114" s="150" t="e">
        <f t="shared" si="14"/>
        <v>#REF!</v>
      </c>
      <c r="AL114" s="111" t="e">
        <f>VLOOKUP($D114,#REF!,9,FALSE)-AG114</f>
        <v>#REF!</v>
      </c>
      <c r="AM114" s="111" t="e">
        <f>VLOOKUP($D114,#REF!,10,FALSE)-AH114</f>
        <v>#REF!</v>
      </c>
    </row>
    <row r="115" spans="1:39" x14ac:dyDescent="0.3">
      <c r="A115" s="102">
        <v>112</v>
      </c>
      <c r="B115" s="103" t="s">
        <v>282</v>
      </c>
      <c r="C115" s="93" t="s">
        <v>283</v>
      </c>
      <c r="D115" s="94" t="s">
        <v>284</v>
      </c>
      <c r="E115" s="223">
        <v>0</v>
      </c>
      <c r="F115" s="224">
        <v>0</v>
      </c>
      <c r="G115" s="224">
        <v>1</v>
      </c>
      <c r="H115" s="224">
        <v>0</v>
      </c>
      <c r="I115" s="224">
        <v>0</v>
      </c>
      <c r="J115" s="219">
        <f t="shared" si="8"/>
        <v>1</v>
      </c>
      <c r="K115" s="225">
        <v>2</v>
      </c>
      <c r="L115" s="221">
        <v>0</v>
      </c>
      <c r="M115" s="222">
        <v>0</v>
      </c>
      <c r="N115" s="222">
        <v>0</v>
      </c>
      <c r="O115" s="222">
        <v>0</v>
      </c>
      <c r="P115" s="222">
        <v>0</v>
      </c>
      <c r="Q115" s="219">
        <f t="shared" si="9"/>
        <v>0</v>
      </c>
      <c r="R115" s="222">
        <v>0</v>
      </c>
      <c r="S115" s="223">
        <v>0</v>
      </c>
      <c r="T115" s="224">
        <v>0</v>
      </c>
      <c r="U115" s="224">
        <v>1</v>
      </c>
      <c r="V115" s="224">
        <v>0</v>
      </c>
      <c r="W115" s="224">
        <v>0</v>
      </c>
      <c r="X115" s="219">
        <f t="shared" si="10"/>
        <v>1</v>
      </c>
      <c r="Y115" s="225">
        <v>2</v>
      </c>
      <c r="Z115" s="247" t="e">
        <f>VLOOKUP($D115,#REF!, Z$1-21, FALSE)*S115</f>
        <v>#REF!</v>
      </c>
      <c r="AA115" s="218" t="e">
        <f>VLOOKUP($D115,#REF!, AA$1-21, FALSE)*T115</f>
        <v>#REF!</v>
      </c>
      <c r="AB115" s="218" t="e">
        <f>VLOOKUP($D115,#REF!, AB$1-21, FALSE)*U115</f>
        <v>#REF!</v>
      </c>
      <c r="AC115" s="218" t="e">
        <f>VLOOKUP($D115,#REF!, AC$1-21, FALSE)*V115</f>
        <v>#REF!</v>
      </c>
      <c r="AD115" s="218" t="e">
        <f>VLOOKUP($D115,#REF!, AD$1-21, FALSE)*W115</f>
        <v>#REF!</v>
      </c>
      <c r="AE115" s="219" t="e">
        <f t="shared" si="15"/>
        <v>#REF!</v>
      </c>
      <c r="AF115" s="248" t="e">
        <f>VLOOKUP($D115,#REF!, AF$1-22, FALSE)*Y115</f>
        <v>#REF!</v>
      </c>
      <c r="AG115" s="223" t="e">
        <f t="shared" si="11"/>
        <v>#REF!</v>
      </c>
      <c r="AH115" s="224" t="e">
        <f t="shared" si="12"/>
        <v>#REF!</v>
      </c>
      <c r="AI115" s="225" t="e">
        <f t="shared" si="13"/>
        <v>#REF!</v>
      </c>
      <c r="AJ115" s="137">
        <v>227235</v>
      </c>
      <c r="AK115" s="150" t="e">
        <f t="shared" si="14"/>
        <v>#REF!</v>
      </c>
      <c r="AL115" s="111" t="e">
        <f>VLOOKUP($D115,#REF!,9,FALSE)-AG115</f>
        <v>#REF!</v>
      </c>
      <c r="AM115" s="111" t="e">
        <f>VLOOKUP($D115,#REF!,10,FALSE)-AH115</f>
        <v>#REF!</v>
      </c>
    </row>
    <row r="116" spans="1:39" x14ac:dyDescent="0.3">
      <c r="A116" s="102">
        <v>113</v>
      </c>
      <c r="B116" s="103" t="s">
        <v>408</v>
      </c>
      <c r="C116" s="107" t="s">
        <v>285</v>
      </c>
      <c r="D116" s="94" t="s">
        <v>286</v>
      </c>
      <c r="E116" s="223">
        <v>0</v>
      </c>
      <c r="F116" s="224">
        <v>0</v>
      </c>
      <c r="G116" s="224">
        <v>2</v>
      </c>
      <c r="H116" s="224">
        <v>0</v>
      </c>
      <c r="I116" s="224">
        <v>0</v>
      </c>
      <c r="J116" s="219">
        <f t="shared" si="8"/>
        <v>2</v>
      </c>
      <c r="K116" s="225">
        <v>5</v>
      </c>
      <c r="L116" s="221">
        <v>0</v>
      </c>
      <c r="M116" s="222">
        <v>0</v>
      </c>
      <c r="N116" s="222">
        <v>0</v>
      </c>
      <c r="O116" s="222">
        <v>0</v>
      </c>
      <c r="P116" s="222">
        <v>0</v>
      </c>
      <c r="Q116" s="219">
        <f t="shared" si="9"/>
        <v>0</v>
      </c>
      <c r="R116" s="222">
        <v>1</v>
      </c>
      <c r="S116" s="223">
        <v>0</v>
      </c>
      <c r="T116" s="224">
        <v>0</v>
      </c>
      <c r="U116" s="224">
        <v>2</v>
      </c>
      <c r="V116" s="224">
        <v>0</v>
      </c>
      <c r="W116" s="224">
        <v>0</v>
      </c>
      <c r="X116" s="219">
        <f t="shared" si="10"/>
        <v>2</v>
      </c>
      <c r="Y116" s="225">
        <v>5</v>
      </c>
      <c r="Z116" s="247" t="e">
        <f>VLOOKUP($D116,#REF!, Z$1-21, FALSE)*S116</f>
        <v>#REF!</v>
      </c>
      <c r="AA116" s="218" t="e">
        <f>VLOOKUP($D116,#REF!, AA$1-21, FALSE)*T116</f>
        <v>#REF!</v>
      </c>
      <c r="AB116" s="218" t="e">
        <f>VLOOKUP($D116,#REF!, AB$1-21, FALSE)*U116</f>
        <v>#REF!</v>
      </c>
      <c r="AC116" s="218" t="e">
        <f>VLOOKUP($D116,#REF!, AC$1-21, FALSE)*V116</f>
        <v>#REF!</v>
      </c>
      <c r="AD116" s="218" t="e">
        <f>VLOOKUP($D116,#REF!, AD$1-21, FALSE)*W116</f>
        <v>#REF!</v>
      </c>
      <c r="AE116" s="219" t="e">
        <f t="shared" si="15"/>
        <v>#REF!</v>
      </c>
      <c r="AF116" s="248" t="e">
        <f>VLOOKUP($D116,#REF!, AF$1-22, FALSE)*Y116</f>
        <v>#REF!</v>
      </c>
      <c r="AG116" s="223" t="e">
        <f t="shared" si="11"/>
        <v>#REF!</v>
      </c>
      <c r="AH116" s="224" t="e">
        <f t="shared" si="12"/>
        <v>#REF!</v>
      </c>
      <c r="AI116" s="225" t="e">
        <f t="shared" si="13"/>
        <v>#REF!</v>
      </c>
      <c r="AJ116" s="137">
        <v>281999</v>
      </c>
      <c r="AK116" s="150" t="e">
        <f t="shared" si="14"/>
        <v>#REF!</v>
      </c>
      <c r="AL116" s="111" t="e">
        <f>VLOOKUP($D116,#REF!,9,FALSE)-AG116</f>
        <v>#REF!</v>
      </c>
      <c r="AM116" s="111" t="e">
        <f>VLOOKUP($D116,#REF!,10,FALSE)-AH116</f>
        <v>#REF!</v>
      </c>
    </row>
    <row r="117" spans="1:39" x14ac:dyDescent="0.3">
      <c r="A117" s="102">
        <v>114</v>
      </c>
      <c r="B117" s="103" t="s">
        <v>385</v>
      </c>
      <c r="C117" s="93" t="s">
        <v>264</v>
      </c>
      <c r="D117" s="94" t="s">
        <v>265</v>
      </c>
      <c r="E117" s="223">
        <v>0</v>
      </c>
      <c r="F117" s="224">
        <v>0</v>
      </c>
      <c r="G117" s="224">
        <v>1</v>
      </c>
      <c r="H117" s="224">
        <v>1</v>
      </c>
      <c r="I117" s="224">
        <v>0</v>
      </c>
      <c r="J117" s="219">
        <f t="shared" si="8"/>
        <v>2</v>
      </c>
      <c r="K117" s="225">
        <v>3</v>
      </c>
      <c r="L117" s="221">
        <v>0</v>
      </c>
      <c r="M117" s="222">
        <v>0</v>
      </c>
      <c r="N117" s="222">
        <v>0</v>
      </c>
      <c r="O117" s="222">
        <v>0</v>
      </c>
      <c r="P117" s="222">
        <v>0</v>
      </c>
      <c r="Q117" s="219">
        <f t="shared" si="9"/>
        <v>0</v>
      </c>
      <c r="R117" s="222">
        <v>0</v>
      </c>
      <c r="S117" s="223">
        <v>0</v>
      </c>
      <c r="T117" s="224">
        <v>0</v>
      </c>
      <c r="U117" s="224">
        <v>1</v>
      </c>
      <c r="V117" s="224">
        <v>1</v>
      </c>
      <c r="W117" s="224">
        <v>0</v>
      </c>
      <c r="X117" s="219">
        <f t="shared" si="10"/>
        <v>2</v>
      </c>
      <c r="Y117" s="225">
        <v>3</v>
      </c>
      <c r="Z117" s="247" t="e">
        <f>VLOOKUP($D117,#REF!, Z$1-21, FALSE)*S117</f>
        <v>#REF!</v>
      </c>
      <c r="AA117" s="218" t="e">
        <f>VLOOKUP($D117,#REF!, AA$1-21, FALSE)*T117</f>
        <v>#REF!</v>
      </c>
      <c r="AB117" s="218" t="e">
        <f>VLOOKUP($D117,#REF!, AB$1-21, FALSE)*U117</f>
        <v>#REF!</v>
      </c>
      <c r="AC117" s="218" t="e">
        <f>VLOOKUP($D117,#REF!, AC$1-21, FALSE)*V117</f>
        <v>#REF!</v>
      </c>
      <c r="AD117" s="218" t="e">
        <f>VLOOKUP($D117,#REF!, AD$1-21, FALSE)*W117</f>
        <v>#REF!</v>
      </c>
      <c r="AE117" s="219" t="e">
        <f t="shared" si="15"/>
        <v>#REF!</v>
      </c>
      <c r="AF117" s="248" t="e">
        <f>VLOOKUP($D117,#REF!, AF$1-22, FALSE)*Y117</f>
        <v>#REF!</v>
      </c>
      <c r="AG117" s="223" t="e">
        <f t="shared" si="11"/>
        <v>#REF!</v>
      </c>
      <c r="AH117" s="224" t="e">
        <f t="shared" si="12"/>
        <v>#REF!</v>
      </c>
      <c r="AI117" s="225" t="e">
        <f t="shared" si="13"/>
        <v>#REF!</v>
      </c>
      <c r="AK117" s="150" t="e">
        <f t="shared" si="14"/>
        <v>#REF!</v>
      </c>
      <c r="AL117" s="111" t="e">
        <f>VLOOKUP($D117,#REF!,9,FALSE)-AG117</f>
        <v>#REF!</v>
      </c>
      <c r="AM117" s="111" t="e">
        <f>VLOOKUP($D117,#REF!,10,FALSE)-AH117</f>
        <v>#REF!</v>
      </c>
    </row>
    <row r="118" spans="1:39" x14ac:dyDescent="0.3">
      <c r="A118" s="102">
        <v>115</v>
      </c>
      <c r="B118" s="103" t="s">
        <v>474</v>
      </c>
      <c r="C118" s="93" t="s">
        <v>479</v>
      </c>
      <c r="D118" s="94" t="s">
        <v>480</v>
      </c>
      <c r="E118" s="223">
        <v>0</v>
      </c>
      <c r="F118" s="224">
        <v>0</v>
      </c>
      <c r="G118" s="224">
        <v>0</v>
      </c>
      <c r="H118" s="224">
        <v>0</v>
      </c>
      <c r="I118" s="224">
        <v>0</v>
      </c>
      <c r="J118" s="219">
        <f t="shared" si="8"/>
        <v>0</v>
      </c>
      <c r="K118" s="225">
        <v>1</v>
      </c>
      <c r="L118" s="221">
        <v>0</v>
      </c>
      <c r="M118" s="222">
        <v>0</v>
      </c>
      <c r="N118" s="222">
        <v>0</v>
      </c>
      <c r="O118" s="222">
        <v>0</v>
      </c>
      <c r="P118" s="222">
        <v>0</v>
      </c>
      <c r="Q118" s="219">
        <f t="shared" si="9"/>
        <v>0</v>
      </c>
      <c r="R118" s="222">
        <v>0</v>
      </c>
      <c r="S118" s="223">
        <v>0</v>
      </c>
      <c r="T118" s="224">
        <v>0</v>
      </c>
      <c r="U118" s="224">
        <v>0</v>
      </c>
      <c r="V118" s="224">
        <v>0</v>
      </c>
      <c r="W118" s="224">
        <v>0</v>
      </c>
      <c r="X118" s="219">
        <f t="shared" si="10"/>
        <v>0</v>
      </c>
      <c r="Y118" s="225">
        <v>1</v>
      </c>
      <c r="Z118" s="247" t="e">
        <f>VLOOKUP($D118,#REF!, Z$1-21, FALSE)*S118</f>
        <v>#REF!</v>
      </c>
      <c r="AA118" s="218" t="e">
        <f>VLOOKUP($D118,#REF!, AA$1-21, FALSE)*T118</f>
        <v>#REF!</v>
      </c>
      <c r="AB118" s="218" t="e">
        <f>VLOOKUP($D118,#REF!, AB$1-21, FALSE)*U118</f>
        <v>#REF!</v>
      </c>
      <c r="AC118" s="218" t="e">
        <f>VLOOKUP($D118,#REF!, AC$1-21, FALSE)*V118</f>
        <v>#REF!</v>
      </c>
      <c r="AD118" s="218" t="e">
        <f>VLOOKUP($D118,#REF!, AD$1-21, FALSE)*W118</f>
        <v>#REF!</v>
      </c>
      <c r="AE118" s="219" t="e">
        <f t="shared" si="15"/>
        <v>#REF!</v>
      </c>
      <c r="AF118" s="248" t="e">
        <f>VLOOKUP($D118,#REF!, AF$1-22, FALSE)*Y118</f>
        <v>#REF!</v>
      </c>
      <c r="AG118" s="223" t="e">
        <f t="shared" si="11"/>
        <v>#REF!</v>
      </c>
      <c r="AH118" s="224" t="e">
        <f t="shared" si="12"/>
        <v>#REF!</v>
      </c>
      <c r="AI118" s="225" t="e">
        <f t="shared" si="13"/>
        <v>#REF!</v>
      </c>
      <c r="AJ118" s="137">
        <v>227944</v>
      </c>
      <c r="AK118" s="150" t="e">
        <f t="shared" si="14"/>
        <v>#REF!</v>
      </c>
      <c r="AL118" s="111" t="e">
        <f>VLOOKUP($D118,#REF!,9,FALSE)-AG118</f>
        <v>#REF!</v>
      </c>
      <c r="AM118" s="111" t="e">
        <f>VLOOKUP($D118,#REF!,10,FALSE)-AH118</f>
        <v>#REF!</v>
      </c>
    </row>
    <row r="119" spans="1:39" x14ac:dyDescent="0.3">
      <c r="A119" s="102">
        <v>116</v>
      </c>
      <c r="B119" s="103" t="s">
        <v>287</v>
      </c>
      <c r="C119" s="93" t="s">
        <v>288</v>
      </c>
      <c r="D119" s="94" t="s">
        <v>289</v>
      </c>
      <c r="E119" s="223">
        <v>0</v>
      </c>
      <c r="F119" s="224">
        <v>0</v>
      </c>
      <c r="G119" s="224">
        <v>1</v>
      </c>
      <c r="H119" s="224">
        <v>0</v>
      </c>
      <c r="I119" s="224">
        <v>0</v>
      </c>
      <c r="J119" s="219">
        <f t="shared" si="8"/>
        <v>1</v>
      </c>
      <c r="K119" s="225">
        <v>2</v>
      </c>
      <c r="L119" s="221">
        <v>0</v>
      </c>
      <c r="M119" s="222">
        <v>0</v>
      </c>
      <c r="N119" s="222">
        <v>0</v>
      </c>
      <c r="O119" s="222">
        <v>0</v>
      </c>
      <c r="P119" s="222">
        <v>0</v>
      </c>
      <c r="Q119" s="219">
        <f t="shared" si="9"/>
        <v>0</v>
      </c>
      <c r="R119" s="222">
        <v>0</v>
      </c>
      <c r="S119" s="223">
        <v>0</v>
      </c>
      <c r="T119" s="224">
        <v>0</v>
      </c>
      <c r="U119" s="224">
        <v>1</v>
      </c>
      <c r="V119" s="224">
        <v>0</v>
      </c>
      <c r="W119" s="224">
        <v>0</v>
      </c>
      <c r="X119" s="219">
        <f t="shared" si="10"/>
        <v>1</v>
      </c>
      <c r="Y119" s="225">
        <v>2</v>
      </c>
      <c r="Z119" s="247" t="e">
        <f>VLOOKUP($D119,#REF!, Z$1-21, FALSE)*S119</f>
        <v>#REF!</v>
      </c>
      <c r="AA119" s="218" t="e">
        <f>VLOOKUP($D119,#REF!, AA$1-21, FALSE)*T119</f>
        <v>#REF!</v>
      </c>
      <c r="AB119" s="218" t="e">
        <f>VLOOKUP($D119,#REF!, AB$1-21, FALSE)*U119</f>
        <v>#REF!</v>
      </c>
      <c r="AC119" s="218" t="e">
        <f>VLOOKUP($D119,#REF!, AC$1-21, FALSE)*V119</f>
        <v>#REF!</v>
      </c>
      <c r="AD119" s="218" t="e">
        <f>VLOOKUP($D119,#REF!, AD$1-21, FALSE)*W119</f>
        <v>#REF!</v>
      </c>
      <c r="AE119" s="219" t="e">
        <f t="shared" si="15"/>
        <v>#REF!</v>
      </c>
      <c r="AF119" s="248" t="e">
        <f>VLOOKUP($D119,#REF!, AF$1-22, FALSE)*Y119</f>
        <v>#REF!</v>
      </c>
      <c r="AG119" s="223" t="e">
        <f t="shared" si="11"/>
        <v>#REF!</v>
      </c>
      <c r="AH119" s="224" t="e">
        <f t="shared" si="12"/>
        <v>#REF!</v>
      </c>
      <c r="AI119" s="225" t="e">
        <f t="shared" si="13"/>
        <v>#REF!</v>
      </c>
      <c r="AJ119" s="137">
        <v>2437831</v>
      </c>
      <c r="AK119" s="150" t="e">
        <f t="shared" si="14"/>
        <v>#REF!</v>
      </c>
      <c r="AL119" s="111" t="e">
        <f>VLOOKUP($D119,#REF!,9,FALSE)-AG119</f>
        <v>#REF!</v>
      </c>
      <c r="AM119" s="111" t="e">
        <f>VLOOKUP($D119,#REF!,10,FALSE)-AH119</f>
        <v>#REF!</v>
      </c>
    </row>
    <row r="120" spans="1:39" x14ac:dyDescent="0.3">
      <c r="A120" s="102">
        <v>117</v>
      </c>
      <c r="B120" s="103" t="s">
        <v>290</v>
      </c>
      <c r="C120" s="93" t="s">
        <v>291</v>
      </c>
      <c r="D120" s="94" t="s">
        <v>292</v>
      </c>
      <c r="E120" s="223">
        <v>0</v>
      </c>
      <c r="F120" s="224">
        <v>0</v>
      </c>
      <c r="G120" s="224">
        <v>1</v>
      </c>
      <c r="H120" s="224">
        <v>0</v>
      </c>
      <c r="I120" s="224">
        <v>0</v>
      </c>
      <c r="J120" s="219">
        <f t="shared" si="8"/>
        <v>1</v>
      </c>
      <c r="K120" s="225">
        <v>2</v>
      </c>
      <c r="L120" s="221">
        <v>0</v>
      </c>
      <c r="M120" s="222">
        <v>0</v>
      </c>
      <c r="N120" s="222">
        <v>0</v>
      </c>
      <c r="O120" s="222">
        <v>0</v>
      </c>
      <c r="P120" s="222">
        <v>0</v>
      </c>
      <c r="Q120" s="219">
        <f t="shared" si="9"/>
        <v>0</v>
      </c>
      <c r="R120" s="222">
        <v>0</v>
      </c>
      <c r="S120" s="223">
        <v>0</v>
      </c>
      <c r="T120" s="224">
        <v>0</v>
      </c>
      <c r="U120" s="224">
        <v>1</v>
      </c>
      <c r="V120" s="224">
        <v>0</v>
      </c>
      <c r="W120" s="224">
        <v>0</v>
      </c>
      <c r="X120" s="219">
        <f t="shared" si="10"/>
        <v>1</v>
      </c>
      <c r="Y120" s="225">
        <v>2</v>
      </c>
      <c r="Z120" s="247" t="e">
        <f>VLOOKUP($D120,#REF!, Z$1-21, FALSE)*S120</f>
        <v>#REF!</v>
      </c>
      <c r="AA120" s="218" t="e">
        <f>VLOOKUP($D120,#REF!, AA$1-21, FALSE)*T120</f>
        <v>#REF!</v>
      </c>
      <c r="AB120" s="218" t="e">
        <f>VLOOKUP($D120,#REF!, AB$1-21, FALSE)*U120</f>
        <v>#REF!</v>
      </c>
      <c r="AC120" s="218" t="e">
        <f>VLOOKUP($D120,#REF!, AC$1-21, FALSE)*V120</f>
        <v>#REF!</v>
      </c>
      <c r="AD120" s="218" t="e">
        <f>VLOOKUP($D120,#REF!, AD$1-21, FALSE)*W120</f>
        <v>#REF!</v>
      </c>
      <c r="AE120" s="219" t="e">
        <f t="shared" si="15"/>
        <v>#REF!</v>
      </c>
      <c r="AF120" s="248" t="e">
        <f>VLOOKUP($D120,#REF!, AF$1-22, FALSE)*Y120</f>
        <v>#REF!</v>
      </c>
      <c r="AG120" s="223" t="e">
        <f t="shared" si="11"/>
        <v>#REF!</v>
      </c>
      <c r="AH120" s="224" t="e">
        <f t="shared" si="12"/>
        <v>#REF!</v>
      </c>
      <c r="AI120" s="225" t="e">
        <f t="shared" si="13"/>
        <v>#REF!</v>
      </c>
      <c r="AJ120" s="137">
        <v>495925</v>
      </c>
      <c r="AK120" s="150" t="e">
        <f t="shared" si="14"/>
        <v>#REF!</v>
      </c>
      <c r="AL120" s="111" t="e">
        <f>VLOOKUP($D120,#REF!,9,FALSE)-AG120</f>
        <v>#REF!</v>
      </c>
      <c r="AM120" s="111" t="e">
        <f>VLOOKUP($D120,#REF!,10,FALSE)-AH120</f>
        <v>#REF!</v>
      </c>
    </row>
    <row r="121" spans="1:39" x14ac:dyDescent="0.3">
      <c r="A121" s="102">
        <v>118</v>
      </c>
      <c r="B121" s="103" t="s">
        <v>401</v>
      </c>
      <c r="C121" s="93" t="s">
        <v>293</v>
      </c>
      <c r="D121" s="94" t="s">
        <v>294</v>
      </c>
      <c r="E121" s="223">
        <v>0</v>
      </c>
      <c r="F121" s="224">
        <v>0</v>
      </c>
      <c r="G121" s="224">
        <v>1</v>
      </c>
      <c r="H121" s="224">
        <v>0</v>
      </c>
      <c r="I121" s="224">
        <v>0</v>
      </c>
      <c r="J121" s="219">
        <f t="shared" si="8"/>
        <v>1</v>
      </c>
      <c r="K121" s="225">
        <v>2</v>
      </c>
      <c r="L121" s="221">
        <v>0</v>
      </c>
      <c r="M121" s="222">
        <v>0</v>
      </c>
      <c r="N121" s="222">
        <v>0</v>
      </c>
      <c r="O121" s="222">
        <v>0</v>
      </c>
      <c r="P121" s="222">
        <v>0</v>
      </c>
      <c r="Q121" s="219">
        <f t="shared" si="9"/>
        <v>0</v>
      </c>
      <c r="R121" s="222">
        <v>0</v>
      </c>
      <c r="S121" s="223">
        <v>0</v>
      </c>
      <c r="T121" s="224">
        <v>0</v>
      </c>
      <c r="U121" s="224">
        <v>1</v>
      </c>
      <c r="V121" s="224">
        <v>0</v>
      </c>
      <c r="W121" s="224">
        <v>0</v>
      </c>
      <c r="X121" s="219">
        <f t="shared" si="10"/>
        <v>1</v>
      </c>
      <c r="Y121" s="225">
        <v>2</v>
      </c>
      <c r="Z121" s="247" t="e">
        <f>VLOOKUP($D121,#REF!, Z$1-21, FALSE)*S121</f>
        <v>#REF!</v>
      </c>
      <c r="AA121" s="218" t="e">
        <f>VLOOKUP($D121,#REF!, AA$1-21, FALSE)*T121</f>
        <v>#REF!</v>
      </c>
      <c r="AB121" s="218" t="e">
        <f>VLOOKUP($D121,#REF!, AB$1-21, FALSE)*U121</f>
        <v>#REF!</v>
      </c>
      <c r="AC121" s="218" t="e">
        <f>VLOOKUP($D121,#REF!, AC$1-21, FALSE)*V121</f>
        <v>#REF!</v>
      </c>
      <c r="AD121" s="218" t="e">
        <f>VLOOKUP($D121,#REF!, AD$1-21, FALSE)*W121</f>
        <v>#REF!</v>
      </c>
      <c r="AE121" s="219" t="e">
        <f t="shared" si="15"/>
        <v>#REF!</v>
      </c>
      <c r="AF121" s="248" t="e">
        <f>VLOOKUP($D121,#REF!, AF$1-22, FALSE)*Y121</f>
        <v>#REF!</v>
      </c>
      <c r="AG121" s="223" t="e">
        <f t="shared" si="11"/>
        <v>#REF!</v>
      </c>
      <c r="AH121" s="224" t="e">
        <f t="shared" si="12"/>
        <v>#REF!</v>
      </c>
      <c r="AI121" s="225" t="e">
        <f t="shared" si="13"/>
        <v>#REF!</v>
      </c>
      <c r="AJ121" s="137">
        <v>548986</v>
      </c>
      <c r="AK121" s="150" t="e">
        <f t="shared" si="14"/>
        <v>#REF!</v>
      </c>
      <c r="AL121" s="111" t="e">
        <f>VLOOKUP($D121,#REF!,9,FALSE)-AG121</f>
        <v>#REF!</v>
      </c>
      <c r="AM121" s="111" t="e">
        <f>VLOOKUP($D121,#REF!,10,FALSE)-AH121</f>
        <v>#REF!</v>
      </c>
    </row>
    <row r="122" spans="1:39" x14ac:dyDescent="0.3">
      <c r="A122" s="102">
        <v>119</v>
      </c>
      <c r="B122" s="103" t="s">
        <v>386</v>
      </c>
      <c r="C122" s="93" t="s">
        <v>298</v>
      </c>
      <c r="D122" s="94" t="s">
        <v>299</v>
      </c>
      <c r="E122" s="223">
        <v>0</v>
      </c>
      <c r="F122" s="224">
        <v>0</v>
      </c>
      <c r="G122" s="224">
        <v>1</v>
      </c>
      <c r="H122" s="224">
        <v>1</v>
      </c>
      <c r="I122" s="224">
        <v>0</v>
      </c>
      <c r="J122" s="219">
        <f t="shared" si="8"/>
        <v>2</v>
      </c>
      <c r="K122" s="225">
        <v>3</v>
      </c>
      <c r="L122" s="221">
        <v>0</v>
      </c>
      <c r="M122" s="222">
        <v>0</v>
      </c>
      <c r="N122" s="222">
        <v>0</v>
      </c>
      <c r="O122" s="222">
        <v>-1</v>
      </c>
      <c r="P122" s="222">
        <v>0</v>
      </c>
      <c r="Q122" s="219">
        <f t="shared" si="9"/>
        <v>-1</v>
      </c>
      <c r="R122" s="222">
        <v>0</v>
      </c>
      <c r="S122" s="223">
        <v>0</v>
      </c>
      <c r="T122" s="224">
        <v>0</v>
      </c>
      <c r="U122" s="224">
        <v>1</v>
      </c>
      <c r="V122" s="224">
        <v>0</v>
      </c>
      <c r="W122" s="224">
        <v>0</v>
      </c>
      <c r="X122" s="219">
        <f t="shared" si="10"/>
        <v>1</v>
      </c>
      <c r="Y122" s="225">
        <v>3</v>
      </c>
      <c r="Z122" s="247" t="e">
        <f>VLOOKUP($D122,#REF!, Z$1-21, FALSE)*S122</f>
        <v>#REF!</v>
      </c>
      <c r="AA122" s="218" t="e">
        <f>VLOOKUP($D122,#REF!, AA$1-21, FALSE)*T122</f>
        <v>#REF!</v>
      </c>
      <c r="AB122" s="218" t="e">
        <f>VLOOKUP($D122,#REF!, AB$1-21, FALSE)*U122</f>
        <v>#REF!</v>
      </c>
      <c r="AC122" s="218" t="e">
        <f>VLOOKUP($D122,#REF!, AC$1-21, FALSE)*V122</f>
        <v>#REF!</v>
      </c>
      <c r="AD122" s="218" t="e">
        <f>VLOOKUP($D122,#REF!, AD$1-21, FALSE)*W122</f>
        <v>#REF!</v>
      </c>
      <c r="AE122" s="219" t="e">
        <f t="shared" si="15"/>
        <v>#REF!</v>
      </c>
      <c r="AF122" s="248" t="e">
        <f>VLOOKUP($D122,#REF!, AF$1-22, FALSE)*Y122</f>
        <v>#REF!</v>
      </c>
      <c r="AG122" s="223" t="e">
        <f t="shared" si="11"/>
        <v>#REF!</v>
      </c>
      <c r="AH122" s="224" t="e">
        <f t="shared" si="12"/>
        <v>#REF!</v>
      </c>
      <c r="AI122" s="225" t="e">
        <f t="shared" si="13"/>
        <v>#REF!</v>
      </c>
      <c r="AJ122" s="137">
        <v>297972</v>
      </c>
      <c r="AK122" s="150" t="e">
        <f t="shared" si="14"/>
        <v>#REF!</v>
      </c>
      <c r="AL122" s="111" t="e">
        <f>VLOOKUP($D122,#REF!,9,FALSE)-AG122</f>
        <v>#REF!</v>
      </c>
      <c r="AM122" s="111" t="e">
        <f>VLOOKUP($D122,#REF!,10,FALSE)-AH122</f>
        <v>#REF!</v>
      </c>
    </row>
    <row r="123" spans="1:39" x14ac:dyDescent="0.3">
      <c r="A123" s="102">
        <v>120</v>
      </c>
      <c r="B123" s="229" t="s">
        <v>387</v>
      </c>
      <c r="C123" s="230" t="s">
        <v>300</v>
      </c>
      <c r="D123" s="231" t="s">
        <v>301</v>
      </c>
      <c r="E123" s="232">
        <v>0</v>
      </c>
      <c r="F123" s="233">
        <v>0</v>
      </c>
      <c r="G123" s="233">
        <v>1</v>
      </c>
      <c r="H123" s="233">
        <v>1</v>
      </c>
      <c r="I123" s="233">
        <v>0</v>
      </c>
      <c r="J123" s="234">
        <f t="shared" si="8"/>
        <v>2</v>
      </c>
      <c r="K123" s="235">
        <v>3</v>
      </c>
      <c r="L123" s="236">
        <v>0</v>
      </c>
      <c r="M123" s="237">
        <v>0</v>
      </c>
      <c r="N123" s="237">
        <v>0</v>
      </c>
      <c r="O123" s="237">
        <v>0</v>
      </c>
      <c r="P123" s="237">
        <v>0</v>
      </c>
      <c r="Q123" s="234">
        <f t="shared" si="9"/>
        <v>0</v>
      </c>
      <c r="R123" s="237">
        <v>0</v>
      </c>
      <c r="S123" s="232">
        <v>0</v>
      </c>
      <c r="T123" s="233">
        <v>0</v>
      </c>
      <c r="U123" s="233">
        <v>1</v>
      </c>
      <c r="V123" s="233">
        <v>1</v>
      </c>
      <c r="W123" s="233">
        <v>0</v>
      </c>
      <c r="X123" s="234">
        <f t="shared" si="10"/>
        <v>2</v>
      </c>
      <c r="Y123" s="235">
        <v>3</v>
      </c>
      <c r="Z123" s="247" t="e">
        <f>VLOOKUP($D123,#REF!, Z$1-21, FALSE)*S123</f>
        <v>#REF!</v>
      </c>
      <c r="AA123" s="218" t="e">
        <f>VLOOKUP($D123,#REF!, AA$1-21, FALSE)*T123</f>
        <v>#REF!</v>
      </c>
      <c r="AB123" s="218" t="e">
        <f>VLOOKUP($D123,#REF!, AB$1-21, FALSE)*U123</f>
        <v>#REF!</v>
      </c>
      <c r="AC123" s="218" t="e">
        <f>VLOOKUP($D123,#REF!, AC$1-21, FALSE)*V123</f>
        <v>#REF!</v>
      </c>
      <c r="AD123" s="218" t="e">
        <f>VLOOKUP($D123,#REF!, AD$1-21, FALSE)*W123</f>
        <v>#REF!</v>
      </c>
      <c r="AE123" s="219" t="e">
        <f t="shared" si="15"/>
        <v>#REF!</v>
      </c>
      <c r="AF123" s="248" t="e">
        <f>VLOOKUP($D123,#REF!, AF$1-22, FALSE)*Y123</f>
        <v>#REF!</v>
      </c>
      <c r="AG123" s="232" t="e">
        <f t="shared" si="11"/>
        <v>#REF!</v>
      </c>
      <c r="AH123" s="233" t="e">
        <f t="shared" si="12"/>
        <v>#REF!</v>
      </c>
      <c r="AI123" s="235" t="e">
        <f t="shared" si="13"/>
        <v>#REF!</v>
      </c>
      <c r="AK123" s="150" t="e">
        <f t="shared" si="14"/>
        <v>#REF!</v>
      </c>
      <c r="AL123" s="111" t="e">
        <f>VLOOKUP($D123,#REF!,9,FALSE)-AG123</f>
        <v>#REF!</v>
      </c>
      <c r="AM123" s="111" t="e">
        <f>VLOOKUP($D123,#REF!,10,FALSE)-AH123</f>
        <v>#REF!</v>
      </c>
    </row>
    <row r="124" spans="1:39" x14ac:dyDescent="0.3">
      <c r="A124" s="238"/>
      <c r="B124" s="239"/>
      <c r="C124" s="240"/>
      <c r="D124" s="241"/>
      <c r="E124" s="242">
        <f t="shared" ref="E124:AI124" si="16">SUM(E4:E123)</f>
        <v>4</v>
      </c>
      <c r="F124" s="243">
        <f t="shared" si="16"/>
        <v>22</v>
      </c>
      <c r="G124" s="243">
        <f t="shared" si="16"/>
        <v>167</v>
      </c>
      <c r="H124" s="243">
        <f t="shared" si="16"/>
        <v>96</v>
      </c>
      <c r="I124" s="243">
        <f t="shared" si="16"/>
        <v>12</v>
      </c>
      <c r="J124" s="243">
        <f t="shared" si="16"/>
        <v>301</v>
      </c>
      <c r="K124" s="243">
        <f t="shared" si="16"/>
        <v>398</v>
      </c>
      <c r="L124" s="244">
        <f t="shared" si="16"/>
        <v>0</v>
      </c>
      <c r="M124" s="244">
        <f t="shared" si="16"/>
        <v>0</v>
      </c>
      <c r="N124" s="244">
        <f t="shared" si="16"/>
        <v>-7</v>
      </c>
      <c r="O124" s="244">
        <f t="shared" si="16"/>
        <v>-4</v>
      </c>
      <c r="P124" s="244">
        <f t="shared" si="16"/>
        <v>-3</v>
      </c>
      <c r="Q124" s="243">
        <f t="shared" si="16"/>
        <v>-14</v>
      </c>
      <c r="R124" s="244">
        <f t="shared" si="16"/>
        <v>-7</v>
      </c>
      <c r="S124" s="242">
        <f t="shared" si="16"/>
        <v>4</v>
      </c>
      <c r="T124" s="243">
        <f t="shared" si="16"/>
        <v>22</v>
      </c>
      <c r="U124" s="243">
        <f t="shared" si="16"/>
        <v>159</v>
      </c>
      <c r="V124" s="243">
        <f t="shared" si="16"/>
        <v>92</v>
      </c>
      <c r="W124" s="243">
        <f t="shared" si="16"/>
        <v>9</v>
      </c>
      <c r="X124" s="245">
        <f t="shared" si="16"/>
        <v>286</v>
      </c>
      <c r="Y124" s="246">
        <f t="shared" si="16"/>
        <v>391</v>
      </c>
      <c r="Z124" s="242" t="e">
        <f t="shared" si="16"/>
        <v>#REF!</v>
      </c>
      <c r="AA124" s="243" t="e">
        <f t="shared" si="16"/>
        <v>#REF!</v>
      </c>
      <c r="AB124" s="243" t="e">
        <f t="shared" si="16"/>
        <v>#REF!</v>
      </c>
      <c r="AC124" s="243" t="e">
        <f t="shared" si="16"/>
        <v>#REF!</v>
      </c>
      <c r="AD124" s="243" t="e">
        <f t="shared" si="16"/>
        <v>#REF!</v>
      </c>
      <c r="AE124" s="245" t="e">
        <f t="shared" si="16"/>
        <v>#REF!</v>
      </c>
      <c r="AF124" s="243" t="e">
        <f t="shared" si="16"/>
        <v>#REF!</v>
      </c>
      <c r="AG124" s="242" t="e">
        <f t="shared" si="16"/>
        <v>#REF!</v>
      </c>
      <c r="AH124" s="243" t="e">
        <f t="shared" si="16"/>
        <v>#REF!</v>
      </c>
      <c r="AI124" s="246" t="e">
        <f t="shared" si="16"/>
        <v>#REF!</v>
      </c>
      <c r="AJ124" s="250">
        <v>74660458.370000005</v>
      </c>
      <c r="AK124" s="150" t="e">
        <f t="shared" si="14"/>
        <v>#REF!</v>
      </c>
      <c r="AL124" s="111"/>
      <c r="AM124" s="111"/>
    </row>
    <row r="125" spans="1:39" x14ac:dyDescent="0.3">
      <c r="F125" s="148"/>
      <c r="S125" s="1">
        <v>4</v>
      </c>
      <c r="T125" s="1">
        <v>22</v>
      </c>
      <c r="U125" s="1">
        <v>169</v>
      </c>
      <c r="V125" s="1">
        <v>96</v>
      </c>
      <c r="W125" s="1">
        <v>12</v>
      </c>
      <c r="X125" s="136">
        <f>SUM(S125:W125)</f>
        <v>303</v>
      </c>
      <c r="Y125" s="147">
        <v>408</v>
      </c>
      <c r="Z125" s="1"/>
      <c r="AA125" s="1"/>
      <c r="AB125" s="1"/>
      <c r="AC125" s="1"/>
      <c r="AD125" s="1"/>
      <c r="AE125" s="219"/>
      <c r="AG125" s="1"/>
      <c r="AH125" s="1"/>
      <c r="AI125" s="1"/>
      <c r="AK125" s="150">
        <f t="shared" si="14"/>
        <v>0</v>
      </c>
      <c r="AL125" s="111"/>
    </row>
    <row r="126" spans="1:39" x14ac:dyDescent="0.3">
      <c r="D126" s="110" t="s">
        <v>347</v>
      </c>
      <c r="S126" s="149">
        <f t="shared" ref="S126:Y126" si="17">S124-S125</f>
        <v>0</v>
      </c>
      <c r="T126" s="149">
        <f t="shared" si="17"/>
        <v>0</v>
      </c>
      <c r="U126" s="149">
        <f t="shared" si="17"/>
        <v>-10</v>
      </c>
      <c r="V126" s="149">
        <f t="shared" si="17"/>
        <v>-4</v>
      </c>
      <c r="W126" s="149">
        <f t="shared" si="17"/>
        <v>-3</v>
      </c>
      <c r="X126" s="149">
        <f t="shared" si="17"/>
        <v>-17</v>
      </c>
      <c r="Y126" s="149">
        <f t="shared" si="17"/>
        <v>-17</v>
      </c>
      <c r="Z126" s="149"/>
      <c r="AA126" s="149"/>
      <c r="AB126" s="149"/>
      <c r="AC126" s="149"/>
      <c r="AD126" s="149"/>
      <c r="AE126" s="234"/>
      <c r="AG126" s="149"/>
      <c r="AH126" s="149"/>
      <c r="AI126" s="149"/>
      <c r="AK126" s="150">
        <f t="shared" si="14"/>
        <v>0</v>
      </c>
      <c r="AL126" s="111"/>
    </row>
    <row r="127" spans="1:39" x14ac:dyDescent="0.3">
      <c r="D127" s="110" t="s">
        <v>422</v>
      </c>
      <c r="AK127" s="150">
        <f t="shared" si="14"/>
        <v>0</v>
      </c>
      <c r="AL127" s="111"/>
    </row>
    <row r="128" spans="1:39" x14ac:dyDescent="0.3">
      <c r="D128" s="110"/>
      <c r="AK128" s="150">
        <f t="shared" si="14"/>
        <v>0</v>
      </c>
      <c r="AL128" s="1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workbookViewId="0">
      <selection activeCell="N10" sqref="N10"/>
    </sheetView>
  </sheetViews>
  <sheetFormatPr defaultRowHeight="15" x14ac:dyDescent="0.3"/>
  <cols>
    <col min="1" max="1" width="4" bestFit="1" customWidth="1"/>
    <col min="2" max="2" width="5.5703125" bestFit="1" customWidth="1"/>
    <col min="3" max="3" width="29.85546875" bestFit="1" customWidth="1"/>
    <col min="4" max="4" width="19.42578125" bestFit="1" customWidth="1"/>
    <col min="5" max="5" width="12.28515625" customWidth="1"/>
    <col min="6" max="6" width="20.28515625" customWidth="1"/>
    <col min="7" max="7" width="19.5703125" customWidth="1"/>
    <col min="8" max="8" width="18" style="295" bestFit="1" customWidth="1"/>
  </cols>
  <sheetData>
    <row r="1" spans="1:8" s="295" customFormat="1" x14ac:dyDescent="0.3">
      <c r="A1" s="295" t="s">
        <v>533</v>
      </c>
      <c r="H1" s="335" t="s">
        <v>614</v>
      </c>
    </row>
    <row r="2" spans="1:8" x14ac:dyDescent="0.3">
      <c r="E2" t="s">
        <v>8</v>
      </c>
      <c r="F2" s="110"/>
    </row>
    <row r="3" spans="1:8" x14ac:dyDescent="0.3">
      <c r="F3" s="110" t="s">
        <v>612</v>
      </c>
    </row>
    <row r="4" spans="1:8" s="28" customFormat="1" ht="30" x14ac:dyDescent="0.3">
      <c r="A4" s="405"/>
      <c r="B4" s="405"/>
      <c r="C4" s="405" t="s">
        <v>442</v>
      </c>
      <c r="D4" s="405" t="s">
        <v>326</v>
      </c>
      <c r="E4" s="405" t="s">
        <v>443</v>
      </c>
      <c r="F4" s="405" t="s">
        <v>16</v>
      </c>
      <c r="G4" s="405" t="s">
        <v>330</v>
      </c>
      <c r="H4" s="405" t="s">
        <v>611</v>
      </c>
    </row>
    <row r="5" spans="1:8" x14ac:dyDescent="0.3">
      <c r="A5" s="372">
        <v>1</v>
      </c>
      <c r="B5" s="372" t="s">
        <v>22</v>
      </c>
      <c r="C5" s="372" t="s">
        <v>23</v>
      </c>
      <c r="D5" s="372" t="s">
        <v>327</v>
      </c>
      <c r="E5" s="372" t="s">
        <v>24</v>
      </c>
      <c r="F5" s="404">
        <v>4040312.1732629696</v>
      </c>
      <c r="G5" s="404">
        <v>342500</v>
      </c>
      <c r="H5" s="408">
        <f>SUM(F5:G5)</f>
        <v>4382812.1732629696</v>
      </c>
    </row>
    <row r="6" spans="1:8" x14ac:dyDescent="0.3">
      <c r="A6" s="372">
        <v>2</v>
      </c>
      <c r="B6" s="372" t="s">
        <v>25</v>
      </c>
      <c r="C6" s="372" t="s">
        <v>26</v>
      </c>
      <c r="D6" s="372" t="s">
        <v>328</v>
      </c>
      <c r="E6" s="372" t="s">
        <v>27</v>
      </c>
      <c r="F6" s="404">
        <v>27252.264001027892</v>
      </c>
      <c r="G6" s="404">
        <v>21800</v>
      </c>
      <c r="H6" s="408">
        <f t="shared" ref="H6:H69" si="0">SUM(F6:G6)</f>
        <v>49052.264001027892</v>
      </c>
    </row>
    <row r="7" spans="1:8" x14ac:dyDescent="0.3">
      <c r="A7" s="372">
        <v>3</v>
      </c>
      <c r="B7" s="372" t="s">
        <v>402</v>
      </c>
      <c r="C7" s="372" t="s">
        <v>28</v>
      </c>
      <c r="D7" s="372" t="s">
        <v>423</v>
      </c>
      <c r="E7" s="372" t="s">
        <v>29</v>
      </c>
      <c r="F7" s="404">
        <v>470602.93383936607</v>
      </c>
      <c r="G7" s="404">
        <v>99800</v>
      </c>
      <c r="H7" s="408">
        <f t="shared" si="0"/>
        <v>570402.93383936607</v>
      </c>
    </row>
    <row r="8" spans="1:8" x14ac:dyDescent="0.3">
      <c r="A8" s="372">
        <v>4</v>
      </c>
      <c r="B8" s="372" t="s">
        <v>363</v>
      </c>
      <c r="C8" s="372" t="s">
        <v>30</v>
      </c>
      <c r="D8" s="372" t="s">
        <v>423</v>
      </c>
      <c r="E8" s="372" t="s">
        <v>31</v>
      </c>
      <c r="F8" s="404">
        <v>428894.70864797267</v>
      </c>
      <c r="G8" s="404">
        <v>41300</v>
      </c>
      <c r="H8" s="408">
        <f t="shared" si="0"/>
        <v>470194.70864797267</v>
      </c>
    </row>
    <row r="9" spans="1:8" x14ac:dyDescent="0.3">
      <c r="A9" s="372">
        <v>5</v>
      </c>
      <c r="B9" s="372" t="s">
        <v>32</v>
      </c>
      <c r="C9" s="372" t="s">
        <v>33</v>
      </c>
      <c r="D9" s="372" t="s">
        <v>328</v>
      </c>
      <c r="E9" s="372" t="s">
        <v>34</v>
      </c>
      <c r="F9" s="404">
        <v>285832.93379045255</v>
      </c>
      <c r="G9" s="404">
        <v>77000</v>
      </c>
      <c r="H9" s="408">
        <f t="shared" si="0"/>
        <v>362832.93379045255</v>
      </c>
    </row>
    <row r="10" spans="1:8" x14ac:dyDescent="0.3">
      <c r="A10" s="372">
        <v>6</v>
      </c>
      <c r="B10" s="372" t="s">
        <v>35</v>
      </c>
      <c r="C10" s="372" t="s">
        <v>36</v>
      </c>
      <c r="D10" s="372" t="s">
        <v>328</v>
      </c>
      <c r="E10" s="372" t="s">
        <v>37</v>
      </c>
      <c r="F10" s="404">
        <v>245885.98514087449</v>
      </c>
      <c r="G10" s="404">
        <v>24200</v>
      </c>
      <c r="H10" s="408">
        <f t="shared" si="0"/>
        <v>270085.98514087452</v>
      </c>
    </row>
    <row r="11" spans="1:8" x14ac:dyDescent="0.3">
      <c r="A11" s="372">
        <v>7</v>
      </c>
      <c r="B11" s="372" t="s">
        <v>38</v>
      </c>
      <c r="C11" s="372" t="s">
        <v>39</v>
      </c>
      <c r="D11" s="372" t="s">
        <v>328</v>
      </c>
      <c r="E11" s="372" t="s">
        <v>40</v>
      </c>
      <c r="F11" s="404">
        <v>303906.61876926373</v>
      </c>
      <c r="G11" s="404">
        <v>25700</v>
      </c>
      <c r="H11" s="408">
        <f t="shared" si="0"/>
        <v>329606.61876926373</v>
      </c>
    </row>
    <row r="12" spans="1:8" x14ac:dyDescent="0.3">
      <c r="A12" s="372">
        <v>8</v>
      </c>
      <c r="B12" s="372" t="s">
        <v>41</v>
      </c>
      <c r="C12" s="372" t="s">
        <v>42</v>
      </c>
      <c r="D12" s="372" t="s">
        <v>327</v>
      </c>
      <c r="E12" s="372" t="s">
        <v>43</v>
      </c>
      <c r="F12" s="404">
        <v>435237.03951825295</v>
      </c>
      <c r="G12" s="404">
        <v>34000</v>
      </c>
      <c r="H12" s="408">
        <f t="shared" si="0"/>
        <v>469237.03951825295</v>
      </c>
    </row>
    <row r="13" spans="1:8" x14ac:dyDescent="0.3">
      <c r="A13" s="372">
        <v>9</v>
      </c>
      <c r="B13" s="372" t="s">
        <v>44</v>
      </c>
      <c r="C13" s="372" t="s">
        <v>45</v>
      </c>
      <c r="D13" s="372" t="s">
        <v>423</v>
      </c>
      <c r="E13" s="372" t="s">
        <v>46</v>
      </c>
      <c r="F13" s="404">
        <v>252249.43426753653</v>
      </c>
      <c r="G13" s="404">
        <v>26700</v>
      </c>
      <c r="H13" s="408">
        <f t="shared" si="0"/>
        <v>278949.4342675365</v>
      </c>
    </row>
    <row r="14" spans="1:8" x14ac:dyDescent="0.3">
      <c r="A14" s="372">
        <v>10</v>
      </c>
      <c r="B14" s="372" t="s">
        <v>47</v>
      </c>
      <c r="C14" s="372" t="s">
        <v>48</v>
      </c>
      <c r="D14" s="372" t="s">
        <v>328</v>
      </c>
      <c r="E14" s="372" t="s">
        <v>49</v>
      </c>
      <c r="F14" s="404">
        <v>265697.21450236952</v>
      </c>
      <c r="G14" s="404">
        <v>36500</v>
      </c>
      <c r="H14" s="408">
        <f t="shared" si="0"/>
        <v>302197.21450236952</v>
      </c>
    </row>
    <row r="15" spans="1:8" x14ac:dyDescent="0.3">
      <c r="A15" s="372">
        <v>11</v>
      </c>
      <c r="B15" s="372" t="s">
        <v>414</v>
      </c>
      <c r="C15" s="372" t="s">
        <v>355</v>
      </c>
      <c r="D15" s="372" t="s">
        <v>328</v>
      </c>
      <c r="E15" s="372" t="s">
        <v>52</v>
      </c>
      <c r="F15" s="404">
        <v>257203.48588893513</v>
      </c>
      <c r="G15" s="404">
        <v>57000</v>
      </c>
      <c r="H15" s="408">
        <f t="shared" si="0"/>
        <v>314203.48588893516</v>
      </c>
    </row>
    <row r="16" spans="1:8" x14ac:dyDescent="0.3">
      <c r="A16" s="372">
        <v>12</v>
      </c>
      <c r="B16" s="372" t="s">
        <v>364</v>
      </c>
      <c r="C16" s="372" t="s">
        <v>53</v>
      </c>
      <c r="D16" s="372" t="s">
        <v>423</v>
      </c>
      <c r="E16" s="372" t="s">
        <v>54</v>
      </c>
      <c r="F16" s="404">
        <v>70792.725264463792</v>
      </c>
      <c r="G16" s="404">
        <v>23800</v>
      </c>
      <c r="H16" s="408">
        <f t="shared" si="0"/>
        <v>94592.725264463792</v>
      </c>
    </row>
    <row r="17" spans="1:8" x14ac:dyDescent="0.3">
      <c r="A17" s="372">
        <v>13</v>
      </c>
      <c r="B17" s="372" t="s">
        <v>55</v>
      </c>
      <c r="C17" s="372" t="s">
        <v>56</v>
      </c>
      <c r="D17" s="372" t="s">
        <v>328</v>
      </c>
      <c r="E17" s="372" t="s">
        <v>57</v>
      </c>
      <c r="F17" s="404">
        <v>537730.24172950792</v>
      </c>
      <c r="G17" s="404">
        <v>88200</v>
      </c>
      <c r="H17" s="408">
        <f t="shared" si="0"/>
        <v>625930.24172950792</v>
      </c>
    </row>
    <row r="18" spans="1:8" x14ac:dyDescent="0.3">
      <c r="A18" s="372">
        <v>14</v>
      </c>
      <c r="B18" s="372" t="s">
        <v>365</v>
      </c>
      <c r="C18" s="372" t="s">
        <v>58</v>
      </c>
      <c r="D18" s="372" t="s">
        <v>423</v>
      </c>
      <c r="E18" s="372" t="s">
        <v>59</v>
      </c>
      <c r="F18" s="404">
        <v>251835.81013510303</v>
      </c>
      <c r="G18" s="404">
        <v>23400</v>
      </c>
      <c r="H18" s="408">
        <f t="shared" si="0"/>
        <v>275235.81013510306</v>
      </c>
    </row>
    <row r="19" spans="1:8" x14ac:dyDescent="0.3">
      <c r="A19" s="372">
        <v>15</v>
      </c>
      <c r="B19" s="372" t="s">
        <v>60</v>
      </c>
      <c r="C19" s="372" t="s">
        <v>61</v>
      </c>
      <c r="D19" s="372" t="s">
        <v>423</v>
      </c>
      <c r="E19" s="372" t="s">
        <v>62</v>
      </c>
      <c r="F19" s="404">
        <v>653027.56770677143</v>
      </c>
      <c r="G19" s="404">
        <v>28300</v>
      </c>
      <c r="H19" s="408">
        <f t="shared" si="0"/>
        <v>681327.56770677143</v>
      </c>
    </row>
    <row r="20" spans="1:8" x14ac:dyDescent="0.3">
      <c r="A20" s="372">
        <v>16</v>
      </c>
      <c r="B20" s="372" t="s">
        <v>388</v>
      </c>
      <c r="C20" s="372" t="s">
        <v>63</v>
      </c>
      <c r="D20" s="372" t="s">
        <v>327</v>
      </c>
      <c r="E20" s="372" t="s">
        <v>64</v>
      </c>
      <c r="F20" s="404">
        <v>416510.7367797686</v>
      </c>
      <c r="G20" s="404">
        <v>47000</v>
      </c>
      <c r="H20" s="408">
        <f t="shared" si="0"/>
        <v>463510.7367797686</v>
      </c>
    </row>
    <row r="21" spans="1:8" x14ac:dyDescent="0.3">
      <c r="A21" s="372">
        <v>17</v>
      </c>
      <c r="B21" s="372" t="s">
        <v>65</v>
      </c>
      <c r="C21" s="372" t="s">
        <v>66</v>
      </c>
      <c r="D21" s="372" t="s">
        <v>423</v>
      </c>
      <c r="E21" s="372" t="s">
        <v>67</v>
      </c>
      <c r="F21" s="404">
        <v>256769.13120286894</v>
      </c>
      <c r="G21" s="404">
        <v>30650</v>
      </c>
      <c r="H21" s="408">
        <f t="shared" si="0"/>
        <v>287419.13120286894</v>
      </c>
    </row>
    <row r="22" spans="1:8" x14ac:dyDescent="0.3">
      <c r="A22" s="372">
        <v>18</v>
      </c>
      <c r="B22" s="372" t="s">
        <v>68</v>
      </c>
      <c r="C22" s="372" t="s">
        <v>69</v>
      </c>
      <c r="D22" s="372" t="s">
        <v>423</v>
      </c>
      <c r="E22" s="372" t="s">
        <v>70</v>
      </c>
      <c r="F22" s="404">
        <v>1194228.5454392259</v>
      </c>
      <c r="G22" s="404">
        <v>68500</v>
      </c>
      <c r="H22" s="408">
        <f t="shared" si="0"/>
        <v>1262728.5454392259</v>
      </c>
    </row>
    <row r="23" spans="1:8" x14ac:dyDescent="0.3">
      <c r="A23" s="372">
        <v>19</v>
      </c>
      <c r="B23" s="372" t="s">
        <v>366</v>
      </c>
      <c r="C23" s="372" t="s">
        <v>71</v>
      </c>
      <c r="D23" s="372" t="s">
        <v>423</v>
      </c>
      <c r="E23" s="372" t="s">
        <v>72</v>
      </c>
      <c r="F23" s="404">
        <v>1453687.2806885717</v>
      </c>
      <c r="G23" s="404">
        <v>155100</v>
      </c>
      <c r="H23" s="408">
        <f t="shared" si="0"/>
        <v>1608787.2806885717</v>
      </c>
    </row>
    <row r="24" spans="1:8" x14ac:dyDescent="0.3">
      <c r="A24" s="372">
        <v>20</v>
      </c>
      <c r="B24" s="372" t="s">
        <v>409</v>
      </c>
      <c r="C24" s="372" t="s">
        <v>73</v>
      </c>
      <c r="D24" s="372" t="s">
        <v>328</v>
      </c>
      <c r="E24" s="372" t="s">
        <v>74</v>
      </c>
      <c r="F24" s="404">
        <v>67138.779298065798</v>
      </c>
      <c r="G24" s="404">
        <v>7950</v>
      </c>
      <c r="H24" s="408">
        <f t="shared" si="0"/>
        <v>75088.779298065798</v>
      </c>
    </row>
    <row r="25" spans="1:8" x14ac:dyDescent="0.3">
      <c r="A25" s="372">
        <v>21</v>
      </c>
      <c r="B25" s="372" t="s">
        <v>389</v>
      </c>
      <c r="C25" s="372" t="s">
        <v>75</v>
      </c>
      <c r="D25" s="372" t="s">
        <v>327</v>
      </c>
      <c r="E25" s="372" t="s">
        <v>76</v>
      </c>
      <c r="F25" s="404">
        <v>497651.45736277319</v>
      </c>
      <c r="G25" s="404">
        <v>44700</v>
      </c>
      <c r="H25" s="408">
        <f t="shared" si="0"/>
        <v>542351.45736277313</v>
      </c>
    </row>
    <row r="26" spans="1:8" x14ac:dyDescent="0.3">
      <c r="A26" s="372">
        <v>22</v>
      </c>
      <c r="B26" s="372" t="s">
        <v>77</v>
      </c>
      <c r="C26" s="372" t="s">
        <v>78</v>
      </c>
      <c r="D26" s="372" t="s">
        <v>328</v>
      </c>
      <c r="E26" s="372" t="s">
        <v>79</v>
      </c>
      <c r="F26" s="404">
        <v>1670853.2976286549</v>
      </c>
      <c r="G26" s="404">
        <v>537800</v>
      </c>
      <c r="H26" s="408">
        <f t="shared" si="0"/>
        <v>2208653.2976286551</v>
      </c>
    </row>
    <row r="27" spans="1:8" x14ac:dyDescent="0.3">
      <c r="A27" s="372">
        <v>23</v>
      </c>
      <c r="B27" s="372" t="s">
        <v>367</v>
      </c>
      <c r="C27" s="372" t="s">
        <v>80</v>
      </c>
      <c r="D27" s="372" t="s">
        <v>423</v>
      </c>
      <c r="E27" s="372" t="s">
        <v>81</v>
      </c>
      <c r="F27" s="404">
        <v>28455.7642778347</v>
      </c>
      <c r="G27" s="404">
        <v>4500</v>
      </c>
      <c r="H27" s="408">
        <f t="shared" si="0"/>
        <v>32955.7642778347</v>
      </c>
    </row>
    <row r="28" spans="1:8" x14ac:dyDescent="0.3">
      <c r="A28" s="372">
        <v>24</v>
      </c>
      <c r="B28" s="372" t="s">
        <v>368</v>
      </c>
      <c r="C28" s="372" t="s">
        <v>82</v>
      </c>
      <c r="D28" s="372" t="s">
        <v>423</v>
      </c>
      <c r="E28" s="372" t="s">
        <v>83</v>
      </c>
      <c r="F28" s="404">
        <v>327077.71951613197</v>
      </c>
      <c r="G28" s="404">
        <v>40500</v>
      </c>
      <c r="H28" s="408">
        <f t="shared" si="0"/>
        <v>367577.71951613197</v>
      </c>
    </row>
    <row r="29" spans="1:8" x14ac:dyDescent="0.3">
      <c r="A29" s="372">
        <v>25</v>
      </c>
      <c r="B29" s="372" t="s">
        <v>421</v>
      </c>
      <c r="C29" s="372" t="s">
        <v>424</v>
      </c>
      <c r="D29" s="372" t="s">
        <v>328</v>
      </c>
      <c r="E29" s="372" t="s">
        <v>344</v>
      </c>
      <c r="F29" s="404">
        <v>37799.285821894096</v>
      </c>
      <c r="G29" s="404">
        <v>0</v>
      </c>
      <c r="H29" s="408">
        <f t="shared" si="0"/>
        <v>37799.285821894096</v>
      </c>
    </row>
    <row r="30" spans="1:8" x14ac:dyDescent="0.3">
      <c r="A30" s="372">
        <v>26</v>
      </c>
      <c r="B30" s="372" t="s">
        <v>369</v>
      </c>
      <c r="C30" s="372" t="s">
        <v>84</v>
      </c>
      <c r="D30" s="372" t="s">
        <v>339</v>
      </c>
      <c r="E30" s="372" t="s">
        <v>85</v>
      </c>
      <c r="F30" s="404">
        <v>954321.36903924379</v>
      </c>
      <c r="G30" s="404">
        <v>84500</v>
      </c>
      <c r="H30" s="408">
        <f t="shared" si="0"/>
        <v>1038821.3690392438</v>
      </c>
    </row>
    <row r="31" spans="1:8" x14ac:dyDescent="0.3">
      <c r="A31" s="372">
        <v>27</v>
      </c>
      <c r="B31" s="372" t="s">
        <v>370</v>
      </c>
      <c r="C31" s="372" t="s">
        <v>86</v>
      </c>
      <c r="D31" s="372" t="s">
        <v>339</v>
      </c>
      <c r="E31" s="372" t="s">
        <v>87</v>
      </c>
      <c r="F31" s="404">
        <v>2496366.5874268287</v>
      </c>
      <c r="G31" s="404">
        <v>196500</v>
      </c>
      <c r="H31" s="408">
        <f t="shared" si="0"/>
        <v>2692866.5874268287</v>
      </c>
    </row>
    <row r="32" spans="1:8" x14ac:dyDescent="0.3">
      <c r="A32" s="372">
        <v>28</v>
      </c>
      <c r="B32" s="372" t="s">
        <v>88</v>
      </c>
      <c r="C32" s="372" t="s">
        <v>89</v>
      </c>
      <c r="D32" s="372" t="s">
        <v>423</v>
      </c>
      <c r="E32" s="372" t="s">
        <v>90</v>
      </c>
      <c r="F32" s="404">
        <v>261468.88302893308</v>
      </c>
      <c r="G32" s="404">
        <v>29410</v>
      </c>
      <c r="H32" s="408">
        <f t="shared" si="0"/>
        <v>290878.88302893308</v>
      </c>
    </row>
    <row r="33" spans="1:8" x14ac:dyDescent="0.3">
      <c r="A33" s="372">
        <v>29</v>
      </c>
      <c r="B33" s="372" t="s">
        <v>91</v>
      </c>
      <c r="C33" s="372" t="s">
        <v>92</v>
      </c>
      <c r="D33" s="372" t="s">
        <v>328</v>
      </c>
      <c r="E33" s="372" t="s">
        <v>93</v>
      </c>
      <c r="F33" s="404">
        <v>248283.50537778289</v>
      </c>
      <c r="G33" s="404">
        <v>31400</v>
      </c>
      <c r="H33" s="408">
        <f t="shared" si="0"/>
        <v>279683.50537778286</v>
      </c>
    </row>
    <row r="34" spans="1:8" x14ac:dyDescent="0.3">
      <c r="A34" s="372">
        <v>30</v>
      </c>
      <c r="B34" s="372" t="s">
        <v>390</v>
      </c>
      <c r="C34" s="372" t="s">
        <v>94</v>
      </c>
      <c r="D34" s="372" t="s">
        <v>339</v>
      </c>
      <c r="E34" s="372" t="s">
        <v>95</v>
      </c>
      <c r="F34" s="404">
        <v>466388.62474414177</v>
      </c>
      <c r="G34" s="404">
        <v>46500</v>
      </c>
      <c r="H34" s="408">
        <f t="shared" si="0"/>
        <v>512888.62474414177</v>
      </c>
    </row>
    <row r="35" spans="1:8" x14ac:dyDescent="0.3">
      <c r="A35" s="372">
        <v>31</v>
      </c>
      <c r="B35" s="372" t="s">
        <v>96</v>
      </c>
      <c r="C35" s="372" t="s">
        <v>97</v>
      </c>
      <c r="D35" s="372" t="s">
        <v>328</v>
      </c>
      <c r="E35" s="372" t="s">
        <v>98</v>
      </c>
      <c r="F35" s="404">
        <v>273958.19284531934</v>
      </c>
      <c r="G35" s="404">
        <v>30100</v>
      </c>
      <c r="H35" s="408">
        <f t="shared" si="0"/>
        <v>304058.19284531934</v>
      </c>
    </row>
    <row r="36" spans="1:8" x14ac:dyDescent="0.3">
      <c r="A36" s="372">
        <v>32</v>
      </c>
      <c r="B36" s="372" t="s">
        <v>99</v>
      </c>
      <c r="C36" s="372" t="s">
        <v>100</v>
      </c>
      <c r="D36" s="372" t="s">
        <v>329</v>
      </c>
      <c r="E36" s="372" t="s">
        <v>101</v>
      </c>
      <c r="F36" s="404">
        <v>406099.67420616164</v>
      </c>
      <c r="G36" s="404">
        <v>63900</v>
      </c>
      <c r="H36" s="408">
        <f t="shared" si="0"/>
        <v>469999.67420616164</v>
      </c>
    </row>
    <row r="37" spans="1:8" x14ac:dyDescent="0.3">
      <c r="A37" s="372">
        <v>33</v>
      </c>
      <c r="B37" s="372" t="s">
        <v>410</v>
      </c>
      <c r="C37" s="372" t="s">
        <v>102</v>
      </c>
      <c r="D37" s="372" t="s">
        <v>328</v>
      </c>
      <c r="E37" s="372" t="s">
        <v>103</v>
      </c>
      <c r="F37" s="404">
        <v>249047.41927518317</v>
      </c>
      <c r="G37" s="404">
        <v>57600</v>
      </c>
      <c r="H37" s="408">
        <f t="shared" si="0"/>
        <v>306647.41927518317</v>
      </c>
    </row>
    <row r="38" spans="1:8" x14ac:dyDescent="0.3">
      <c r="A38" s="372">
        <v>34</v>
      </c>
      <c r="B38" s="372" t="s">
        <v>371</v>
      </c>
      <c r="C38" s="372" t="s">
        <v>104</v>
      </c>
      <c r="D38" s="372" t="s">
        <v>423</v>
      </c>
      <c r="E38" s="372" t="s">
        <v>105</v>
      </c>
      <c r="F38" s="404">
        <v>271979.04580536782</v>
      </c>
      <c r="G38" s="404">
        <v>41020</v>
      </c>
      <c r="H38" s="408">
        <f t="shared" si="0"/>
        <v>312999.04580536782</v>
      </c>
    </row>
    <row r="39" spans="1:8" x14ac:dyDescent="0.3">
      <c r="A39" s="372">
        <v>35</v>
      </c>
      <c r="B39" s="372" t="s">
        <v>106</v>
      </c>
      <c r="C39" s="372" t="s">
        <v>107</v>
      </c>
      <c r="D39" s="372" t="s">
        <v>423</v>
      </c>
      <c r="E39" s="372" t="s">
        <v>108</v>
      </c>
      <c r="F39" s="404">
        <v>40827.156456787743</v>
      </c>
      <c r="G39" s="404">
        <v>5900</v>
      </c>
      <c r="H39" s="408">
        <f t="shared" si="0"/>
        <v>46727.156456787743</v>
      </c>
    </row>
    <row r="40" spans="1:8" x14ac:dyDescent="0.3">
      <c r="A40" s="372">
        <v>36</v>
      </c>
      <c r="B40" s="372" t="s">
        <v>109</v>
      </c>
      <c r="C40" s="372" t="s">
        <v>110</v>
      </c>
      <c r="D40" s="372" t="s">
        <v>423</v>
      </c>
      <c r="E40" s="372" t="s">
        <v>111</v>
      </c>
      <c r="F40" s="404">
        <v>610642.88062808523</v>
      </c>
      <c r="G40" s="404">
        <v>79100</v>
      </c>
      <c r="H40" s="408">
        <f t="shared" si="0"/>
        <v>689742.88062808523</v>
      </c>
    </row>
    <row r="41" spans="1:8" x14ac:dyDescent="0.3">
      <c r="A41" s="372">
        <v>37</v>
      </c>
      <c r="B41" s="372" t="s">
        <v>391</v>
      </c>
      <c r="C41" s="372" t="s">
        <v>112</v>
      </c>
      <c r="D41" s="372" t="s">
        <v>327</v>
      </c>
      <c r="E41" s="372" t="s">
        <v>113</v>
      </c>
      <c r="F41" s="404">
        <v>397963.22651191993</v>
      </c>
      <c r="G41" s="404">
        <v>34900</v>
      </c>
      <c r="H41" s="408">
        <f t="shared" si="0"/>
        <v>432863.22651191993</v>
      </c>
    </row>
    <row r="42" spans="1:8" x14ac:dyDescent="0.3">
      <c r="A42" s="372">
        <v>38</v>
      </c>
      <c r="B42" s="372" t="s">
        <v>114</v>
      </c>
      <c r="C42" s="372" t="s">
        <v>115</v>
      </c>
      <c r="D42" s="372" t="s">
        <v>423</v>
      </c>
      <c r="E42" s="372" t="s">
        <v>116</v>
      </c>
      <c r="F42" s="404">
        <v>265161.85713082622</v>
      </c>
      <c r="G42" s="404">
        <v>27200</v>
      </c>
      <c r="H42" s="408">
        <f t="shared" si="0"/>
        <v>292361.85713082622</v>
      </c>
    </row>
    <row r="43" spans="1:8" x14ac:dyDescent="0.3">
      <c r="A43" s="372">
        <v>39</v>
      </c>
      <c r="B43" s="372" t="s">
        <v>372</v>
      </c>
      <c r="C43" s="372" t="s">
        <v>117</v>
      </c>
      <c r="D43" s="372" t="s">
        <v>423</v>
      </c>
      <c r="E43" s="372" t="s">
        <v>118</v>
      </c>
      <c r="F43" s="404">
        <v>26436.120214510156</v>
      </c>
      <c r="G43" s="404">
        <v>12500</v>
      </c>
      <c r="H43" s="408">
        <f t="shared" si="0"/>
        <v>38936.120214510156</v>
      </c>
    </row>
    <row r="44" spans="1:8" x14ac:dyDescent="0.3">
      <c r="A44" s="372">
        <v>40</v>
      </c>
      <c r="B44" s="372" t="s">
        <v>119</v>
      </c>
      <c r="C44" s="372" t="s">
        <v>120</v>
      </c>
      <c r="D44" s="372" t="s">
        <v>328</v>
      </c>
      <c r="E44" s="372" t="s">
        <v>121</v>
      </c>
      <c r="F44" s="404">
        <v>455157.3338358262</v>
      </c>
      <c r="G44" s="404">
        <v>57200</v>
      </c>
      <c r="H44" s="408">
        <f t="shared" si="0"/>
        <v>512357.3338358262</v>
      </c>
    </row>
    <row r="45" spans="1:8" x14ac:dyDescent="0.3">
      <c r="A45" s="372">
        <v>41</v>
      </c>
      <c r="B45" s="372" t="s">
        <v>122</v>
      </c>
      <c r="C45" s="372" t="s">
        <v>317</v>
      </c>
      <c r="D45" s="372" t="s">
        <v>423</v>
      </c>
      <c r="E45" s="372" t="s">
        <v>123</v>
      </c>
      <c r="F45" s="404">
        <v>225524.4456394864</v>
      </c>
      <c r="G45" s="404">
        <v>34300</v>
      </c>
      <c r="H45" s="408">
        <f t="shared" si="0"/>
        <v>259824.4456394864</v>
      </c>
    </row>
    <row r="46" spans="1:8" x14ac:dyDescent="0.3">
      <c r="A46" s="372">
        <v>42</v>
      </c>
      <c r="B46" s="372" t="s">
        <v>411</v>
      </c>
      <c r="C46" s="372" t="s">
        <v>124</v>
      </c>
      <c r="D46" s="372" t="s">
        <v>328</v>
      </c>
      <c r="E46" s="372" t="s">
        <v>125</v>
      </c>
      <c r="F46" s="404">
        <v>480601.56437293999</v>
      </c>
      <c r="G46" s="404">
        <v>81000</v>
      </c>
      <c r="H46" s="408">
        <f t="shared" si="0"/>
        <v>561601.56437293999</v>
      </c>
    </row>
    <row r="47" spans="1:8" x14ac:dyDescent="0.3">
      <c r="A47" s="372">
        <v>43</v>
      </c>
      <c r="B47" s="372" t="s">
        <v>373</v>
      </c>
      <c r="C47" s="372" t="s">
        <v>126</v>
      </c>
      <c r="D47" s="372" t="s">
        <v>423</v>
      </c>
      <c r="E47" s="372" t="s">
        <v>127</v>
      </c>
      <c r="F47" s="404">
        <v>265351.21697216376</v>
      </c>
      <c r="G47" s="404">
        <v>50300</v>
      </c>
      <c r="H47" s="408">
        <f t="shared" si="0"/>
        <v>315651.21697216376</v>
      </c>
    </row>
    <row r="48" spans="1:8" x14ac:dyDescent="0.3">
      <c r="A48" s="372">
        <v>44</v>
      </c>
      <c r="B48" s="372" t="s">
        <v>374</v>
      </c>
      <c r="C48" s="372" t="s">
        <v>128</v>
      </c>
      <c r="D48" s="372" t="s">
        <v>423</v>
      </c>
      <c r="E48" s="372" t="s">
        <v>129</v>
      </c>
      <c r="F48" s="404">
        <v>288152.82206894562</v>
      </c>
      <c r="G48" s="404">
        <v>45100</v>
      </c>
      <c r="H48" s="408">
        <f t="shared" si="0"/>
        <v>333252.82206894562</v>
      </c>
    </row>
    <row r="49" spans="1:8" x14ac:dyDescent="0.3">
      <c r="A49" s="372">
        <v>45</v>
      </c>
      <c r="B49" s="372" t="s">
        <v>130</v>
      </c>
      <c r="C49" s="372" t="s">
        <v>131</v>
      </c>
      <c r="D49" s="372" t="s">
        <v>328</v>
      </c>
      <c r="E49" s="372" t="s">
        <v>132</v>
      </c>
      <c r="F49" s="404">
        <v>234759.68865812616</v>
      </c>
      <c r="G49" s="404">
        <v>41200</v>
      </c>
      <c r="H49" s="408">
        <f t="shared" si="0"/>
        <v>275959.68865812616</v>
      </c>
    </row>
    <row r="50" spans="1:8" x14ac:dyDescent="0.3">
      <c r="A50" s="372">
        <v>46</v>
      </c>
      <c r="B50" s="372" t="s">
        <v>412</v>
      </c>
      <c r="C50" s="372" t="s">
        <v>133</v>
      </c>
      <c r="D50" s="372" t="s">
        <v>339</v>
      </c>
      <c r="E50" s="372" t="s">
        <v>134</v>
      </c>
      <c r="F50" s="404">
        <v>912867.5905077795</v>
      </c>
      <c r="G50" s="404">
        <v>22000</v>
      </c>
      <c r="H50" s="408">
        <f t="shared" si="0"/>
        <v>934867.5905077795</v>
      </c>
    </row>
    <row r="51" spans="1:8" x14ac:dyDescent="0.3">
      <c r="A51" s="372">
        <v>47</v>
      </c>
      <c r="B51" s="372" t="s">
        <v>413</v>
      </c>
      <c r="C51" s="372" t="s">
        <v>135</v>
      </c>
      <c r="D51" s="372" t="s">
        <v>328</v>
      </c>
      <c r="E51" s="372" t="s">
        <v>136</v>
      </c>
      <c r="F51" s="404">
        <v>273334.03624642064</v>
      </c>
      <c r="G51" s="404">
        <v>29000</v>
      </c>
      <c r="H51" s="408">
        <f t="shared" si="0"/>
        <v>302334.03624642064</v>
      </c>
    </row>
    <row r="52" spans="1:8" x14ac:dyDescent="0.3">
      <c r="A52" s="372">
        <v>48</v>
      </c>
      <c r="B52" s="372" t="s">
        <v>137</v>
      </c>
      <c r="C52" s="372" t="s">
        <v>138</v>
      </c>
      <c r="D52" s="372" t="s">
        <v>327</v>
      </c>
      <c r="E52" s="372" t="s">
        <v>139</v>
      </c>
      <c r="F52" s="404">
        <v>659274.30976584146</v>
      </c>
      <c r="G52" s="404">
        <v>77000</v>
      </c>
      <c r="H52" s="408">
        <f t="shared" si="0"/>
        <v>736274.30976584146</v>
      </c>
    </row>
    <row r="53" spans="1:8" x14ac:dyDescent="0.3">
      <c r="A53" s="372">
        <v>49</v>
      </c>
      <c r="B53" s="372" t="s">
        <v>392</v>
      </c>
      <c r="C53" s="372" t="s">
        <v>140</v>
      </c>
      <c r="D53" s="372" t="s">
        <v>327</v>
      </c>
      <c r="E53" s="372" t="s">
        <v>141</v>
      </c>
      <c r="F53" s="404">
        <v>1160487.985365608</v>
      </c>
      <c r="G53" s="404">
        <v>267000</v>
      </c>
      <c r="H53" s="408">
        <f t="shared" si="0"/>
        <v>1427487.985365608</v>
      </c>
    </row>
    <row r="54" spans="1:8" x14ac:dyDescent="0.3">
      <c r="A54" s="372">
        <v>50</v>
      </c>
      <c r="B54" s="372" t="s">
        <v>393</v>
      </c>
      <c r="C54" s="372" t="s">
        <v>142</v>
      </c>
      <c r="D54" s="372" t="s">
        <v>329</v>
      </c>
      <c r="E54" s="372" t="s">
        <v>143</v>
      </c>
      <c r="F54" s="404">
        <v>528930.96076115279</v>
      </c>
      <c r="G54" s="404">
        <v>64000</v>
      </c>
      <c r="H54" s="408">
        <f t="shared" si="0"/>
        <v>592930.96076115279</v>
      </c>
    </row>
    <row r="55" spans="1:8" x14ac:dyDescent="0.3">
      <c r="A55" s="372">
        <v>51</v>
      </c>
      <c r="B55" s="372" t="s">
        <v>144</v>
      </c>
      <c r="C55" s="372" t="s">
        <v>145</v>
      </c>
      <c r="D55" s="372" t="s">
        <v>329</v>
      </c>
      <c r="E55" s="372" t="s">
        <v>146</v>
      </c>
      <c r="F55" s="404">
        <v>2302028.9367674338</v>
      </c>
      <c r="G55" s="404">
        <v>414500</v>
      </c>
      <c r="H55" s="408">
        <f t="shared" si="0"/>
        <v>2716528.9367674338</v>
      </c>
    </row>
    <row r="56" spans="1:8" x14ac:dyDescent="0.3">
      <c r="A56" s="372">
        <v>52</v>
      </c>
      <c r="B56" s="372" t="s">
        <v>147</v>
      </c>
      <c r="C56" s="372" t="s">
        <v>354</v>
      </c>
      <c r="D56" s="372" t="s">
        <v>329</v>
      </c>
      <c r="E56" s="372" t="s">
        <v>149</v>
      </c>
      <c r="F56" s="404">
        <v>1792789.875226154</v>
      </c>
      <c r="G56" s="404">
        <v>143300</v>
      </c>
      <c r="H56" s="408">
        <f t="shared" si="0"/>
        <v>1936089.875226154</v>
      </c>
    </row>
    <row r="57" spans="1:8" x14ac:dyDescent="0.3">
      <c r="A57" s="372">
        <v>53</v>
      </c>
      <c r="B57" s="372" t="s">
        <v>150</v>
      </c>
      <c r="C57" s="372" t="s">
        <v>151</v>
      </c>
      <c r="D57" s="372" t="s">
        <v>328</v>
      </c>
      <c r="E57" s="372" t="s">
        <v>152</v>
      </c>
      <c r="F57" s="404">
        <v>247046.62436329899</v>
      </c>
      <c r="G57" s="404">
        <v>35500</v>
      </c>
      <c r="H57" s="408">
        <f t="shared" si="0"/>
        <v>282546.62436329899</v>
      </c>
    </row>
    <row r="58" spans="1:8" x14ac:dyDescent="0.3">
      <c r="A58" s="372">
        <v>54</v>
      </c>
      <c r="B58" s="372" t="s">
        <v>153</v>
      </c>
      <c r="C58" s="372" t="s">
        <v>154</v>
      </c>
      <c r="D58" s="372" t="s">
        <v>329</v>
      </c>
      <c r="E58" s="372" t="s">
        <v>155</v>
      </c>
      <c r="F58" s="404">
        <v>1127312.7390231886</v>
      </c>
      <c r="G58" s="404">
        <v>86700</v>
      </c>
      <c r="H58" s="408">
        <f t="shared" si="0"/>
        <v>1214012.7390231886</v>
      </c>
    </row>
    <row r="59" spans="1:8" x14ac:dyDescent="0.3">
      <c r="A59" s="372">
        <v>55</v>
      </c>
      <c r="B59" s="372" t="s">
        <v>156</v>
      </c>
      <c r="C59" s="372" t="s">
        <v>157</v>
      </c>
      <c r="D59" s="372" t="s">
        <v>327</v>
      </c>
      <c r="E59" s="372" t="s">
        <v>158</v>
      </c>
      <c r="F59" s="404">
        <v>252762.99767262209</v>
      </c>
      <c r="G59" s="404">
        <v>44400</v>
      </c>
      <c r="H59" s="408">
        <f t="shared" si="0"/>
        <v>297162.99767262209</v>
      </c>
    </row>
    <row r="60" spans="1:8" x14ac:dyDescent="0.3">
      <c r="A60" s="372">
        <v>56</v>
      </c>
      <c r="B60" s="372" t="s">
        <v>161</v>
      </c>
      <c r="C60" s="372" t="s">
        <v>162</v>
      </c>
      <c r="D60" s="372" t="s">
        <v>423</v>
      </c>
      <c r="E60" s="372" t="s">
        <v>163</v>
      </c>
      <c r="F60" s="404">
        <v>1852565.8376817801</v>
      </c>
      <c r="G60" s="404">
        <v>160000</v>
      </c>
      <c r="H60" s="408">
        <f t="shared" si="0"/>
        <v>2012565.8376817801</v>
      </c>
    </row>
    <row r="61" spans="1:8" x14ac:dyDescent="0.3">
      <c r="A61" s="372">
        <v>57</v>
      </c>
      <c r="B61" s="372" t="s">
        <v>312</v>
      </c>
      <c r="C61" s="372" t="s">
        <v>159</v>
      </c>
      <c r="D61" s="372" t="s">
        <v>339</v>
      </c>
      <c r="E61" s="372" t="s">
        <v>160</v>
      </c>
      <c r="F61" s="404">
        <v>256172.92177321255</v>
      </c>
      <c r="G61" s="404">
        <v>26600</v>
      </c>
      <c r="H61" s="408">
        <f t="shared" si="0"/>
        <v>282772.92177321255</v>
      </c>
    </row>
    <row r="62" spans="1:8" x14ac:dyDescent="0.3">
      <c r="A62" s="372">
        <v>58</v>
      </c>
      <c r="B62" s="372" t="s">
        <v>403</v>
      </c>
      <c r="C62" s="372" t="s">
        <v>164</v>
      </c>
      <c r="D62" s="372" t="s">
        <v>329</v>
      </c>
      <c r="E62" s="372" t="s">
        <v>165</v>
      </c>
      <c r="F62" s="404">
        <v>343728.48413703416</v>
      </c>
      <c r="G62" s="404">
        <v>22000</v>
      </c>
      <c r="H62" s="408">
        <f t="shared" si="0"/>
        <v>365728.48413703416</v>
      </c>
    </row>
    <row r="63" spans="1:8" x14ac:dyDescent="0.3">
      <c r="A63" s="372">
        <v>59</v>
      </c>
      <c r="B63" s="372" t="s">
        <v>415</v>
      </c>
      <c r="C63" s="372" t="s">
        <v>166</v>
      </c>
      <c r="D63" s="372" t="s">
        <v>327</v>
      </c>
      <c r="E63" s="372" t="s">
        <v>167</v>
      </c>
      <c r="F63" s="404">
        <v>439370.94508864719</v>
      </c>
      <c r="G63" s="404">
        <v>39200</v>
      </c>
      <c r="H63" s="408">
        <f t="shared" si="0"/>
        <v>478570.94508864719</v>
      </c>
    </row>
    <row r="64" spans="1:8" x14ac:dyDescent="0.3">
      <c r="A64" s="372">
        <v>60</v>
      </c>
      <c r="B64" s="372" t="s">
        <v>168</v>
      </c>
      <c r="C64" s="372" t="s">
        <v>169</v>
      </c>
      <c r="D64" s="372" t="s">
        <v>327</v>
      </c>
      <c r="E64" s="372" t="s">
        <v>170</v>
      </c>
      <c r="F64" s="404">
        <v>30286.594253637471</v>
      </c>
      <c r="G64" s="404">
        <v>17900</v>
      </c>
      <c r="H64" s="408">
        <f t="shared" si="0"/>
        <v>48186.594253637471</v>
      </c>
    </row>
    <row r="65" spans="1:8" x14ac:dyDescent="0.3">
      <c r="A65" s="372">
        <v>61</v>
      </c>
      <c r="B65" s="372" t="s">
        <v>404</v>
      </c>
      <c r="C65" s="372" t="s">
        <v>171</v>
      </c>
      <c r="D65" s="372" t="s">
        <v>329</v>
      </c>
      <c r="E65" s="372" t="s">
        <v>172</v>
      </c>
      <c r="F65" s="404">
        <v>1243918.9102326345</v>
      </c>
      <c r="G65" s="404">
        <v>107300</v>
      </c>
      <c r="H65" s="408">
        <f t="shared" si="0"/>
        <v>1351218.9102326345</v>
      </c>
    </row>
    <row r="66" spans="1:8" x14ac:dyDescent="0.3">
      <c r="A66" s="372">
        <v>62</v>
      </c>
      <c r="B66" s="372" t="s">
        <v>375</v>
      </c>
      <c r="C66" s="372" t="s">
        <v>173</v>
      </c>
      <c r="D66" s="372" t="s">
        <v>423</v>
      </c>
      <c r="E66" s="372" t="s">
        <v>174</v>
      </c>
      <c r="F66" s="404">
        <v>22720.915913317174</v>
      </c>
      <c r="G66" s="404">
        <v>9500</v>
      </c>
      <c r="H66" s="408">
        <f t="shared" si="0"/>
        <v>32220.915913317174</v>
      </c>
    </row>
    <row r="67" spans="1:8" x14ac:dyDescent="0.3">
      <c r="A67" s="372">
        <v>63</v>
      </c>
      <c r="B67" s="372" t="s">
        <v>376</v>
      </c>
      <c r="C67" s="372" t="s">
        <v>175</v>
      </c>
      <c r="D67" s="372" t="s">
        <v>339</v>
      </c>
      <c r="E67" s="372" t="s">
        <v>176</v>
      </c>
      <c r="F67" s="404">
        <v>771590.13950284</v>
      </c>
      <c r="G67" s="404">
        <v>31300</v>
      </c>
      <c r="H67" s="408">
        <f t="shared" si="0"/>
        <v>802890.13950284</v>
      </c>
    </row>
    <row r="68" spans="1:8" x14ac:dyDescent="0.3">
      <c r="A68" s="372">
        <v>64</v>
      </c>
      <c r="B68" s="372" t="s">
        <v>334</v>
      </c>
      <c r="C68" s="372" t="s">
        <v>177</v>
      </c>
      <c r="D68" s="372" t="s">
        <v>329</v>
      </c>
      <c r="E68" s="372" t="s">
        <v>335</v>
      </c>
      <c r="F68" s="404">
        <v>602162.26075569587</v>
      </c>
      <c r="G68" s="404">
        <v>19200</v>
      </c>
      <c r="H68" s="408">
        <f t="shared" si="0"/>
        <v>621362.26075569587</v>
      </c>
    </row>
    <row r="69" spans="1:8" x14ac:dyDescent="0.3">
      <c r="A69" s="372">
        <v>65</v>
      </c>
      <c r="B69" s="372" t="s">
        <v>416</v>
      </c>
      <c r="C69" s="372" t="s">
        <v>524</v>
      </c>
      <c r="D69" s="372" t="s">
        <v>328</v>
      </c>
      <c r="E69" s="372" t="s">
        <v>179</v>
      </c>
      <c r="F69" s="404">
        <v>266912.16679175629</v>
      </c>
      <c r="G69" s="404">
        <v>46800</v>
      </c>
      <c r="H69" s="408">
        <f t="shared" si="0"/>
        <v>313712.16679175629</v>
      </c>
    </row>
    <row r="70" spans="1:8" x14ac:dyDescent="0.3">
      <c r="A70" s="372">
        <v>66</v>
      </c>
      <c r="B70" s="372" t="s">
        <v>377</v>
      </c>
      <c r="C70" s="372" t="s">
        <v>180</v>
      </c>
      <c r="D70" s="372" t="s">
        <v>423</v>
      </c>
      <c r="E70" s="372" t="s">
        <v>181</v>
      </c>
      <c r="F70" s="404">
        <v>372696.0906367097</v>
      </c>
      <c r="G70" s="404">
        <v>42600</v>
      </c>
      <c r="H70" s="408">
        <f t="shared" ref="H70:H125" si="1">SUM(F70:G70)</f>
        <v>415296.0906367097</v>
      </c>
    </row>
    <row r="71" spans="1:8" x14ac:dyDescent="0.3">
      <c r="A71" s="372">
        <v>67</v>
      </c>
      <c r="B71" s="372" t="s">
        <v>378</v>
      </c>
      <c r="C71" s="372" t="s">
        <v>182</v>
      </c>
      <c r="D71" s="372" t="s">
        <v>423</v>
      </c>
      <c r="E71" s="372" t="s">
        <v>183</v>
      </c>
      <c r="F71" s="404">
        <v>217260.71866290137</v>
      </c>
      <c r="G71" s="404">
        <v>23000</v>
      </c>
      <c r="H71" s="408">
        <f t="shared" si="1"/>
        <v>240260.71866290137</v>
      </c>
    </row>
    <row r="72" spans="1:8" x14ac:dyDescent="0.3">
      <c r="A72" s="372">
        <v>68</v>
      </c>
      <c r="B72" s="372" t="s">
        <v>394</v>
      </c>
      <c r="C72" s="372" t="s">
        <v>184</v>
      </c>
      <c r="D72" s="372" t="s">
        <v>327</v>
      </c>
      <c r="E72" s="372" t="s">
        <v>185</v>
      </c>
      <c r="F72" s="404">
        <v>241366.97668238136</v>
      </c>
      <c r="G72" s="404">
        <v>23200</v>
      </c>
      <c r="H72" s="408">
        <f t="shared" si="1"/>
        <v>264566.97668238136</v>
      </c>
    </row>
    <row r="73" spans="1:8" x14ac:dyDescent="0.3">
      <c r="A73" s="372">
        <v>69</v>
      </c>
      <c r="B73" s="372" t="s">
        <v>186</v>
      </c>
      <c r="C73" s="372" t="s">
        <v>187</v>
      </c>
      <c r="D73" s="372" t="s">
        <v>423</v>
      </c>
      <c r="E73" s="372" t="s">
        <v>188</v>
      </c>
      <c r="F73" s="404">
        <v>977119.00550060114</v>
      </c>
      <c r="G73" s="404">
        <v>51000</v>
      </c>
      <c r="H73" s="408">
        <f t="shared" si="1"/>
        <v>1028119.0055006011</v>
      </c>
    </row>
    <row r="74" spans="1:8" x14ac:dyDescent="0.3">
      <c r="A74" s="372">
        <v>70</v>
      </c>
      <c r="B74" s="372" t="s">
        <v>379</v>
      </c>
      <c r="C74" s="372" t="s">
        <v>189</v>
      </c>
      <c r="D74" s="372" t="s">
        <v>423</v>
      </c>
      <c r="E74" s="372" t="s">
        <v>190</v>
      </c>
      <c r="F74" s="404">
        <v>236234.88819042558</v>
      </c>
      <c r="G74" s="404">
        <v>39200</v>
      </c>
      <c r="H74" s="408">
        <f t="shared" si="1"/>
        <v>275434.88819042558</v>
      </c>
    </row>
    <row r="75" spans="1:8" x14ac:dyDescent="0.3">
      <c r="A75" s="372">
        <v>71</v>
      </c>
      <c r="B75" s="372" t="s">
        <v>191</v>
      </c>
      <c r="C75" s="372" t="s">
        <v>192</v>
      </c>
      <c r="D75" s="372" t="s">
        <v>328</v>
      </c>
      <c r="E75" s="372" t="s">
        <v>193</v>
      </c>
      <c r="F75" s="404">
        <v>294280.75487689825</v>
      </c>
      <c r="G75" s="404">
        <v>79000</v>
      </c>
      <c r="H75" s="408">
        <f t="shared" si="1"/>
        <v>373280.75487689825</v>
      </c>
    </row>
    <row r="76" spans="1:8" x14ac:dyDescent="0.3">
      <c r="A76" s="372">
        <v>72</v>
      </c>
      <c r="B76" s="372" t="s">
        <v>499</v>
      </c>
      <c r="C76" s="372" t="s">
        <v>520</v>
      </c>
      <c r="D76" s="372" t="s">
        <v>328</v>
      </c>
      <c r="E76" s="372" t="s">
        <v>345</v>
      </c>
      <c r="F76" s="404">
        <v>18615.313023362691</v>
      </c>
      <c r="G76" s="404">
        <v>0</v>
      </c>
      <c r="H76" s="408">
        <f t="shared" si="1"/>
        <v>18615.313023362691</v>
      </c>
    </row>
    <row r="77" spans="1:8" x14ac:dyDescent="0.3">
      <c r="A77" s="372">
        <v>73</v>
      </c>
      <c r="B77" s="372" t="s">
        <v>395</v>
      </c>
      <c r="C77" s="372" t="s">
        <v>194</v>
      </c>
      <c r="D77" s="372" t="s">
        <v>327</v>
      </c>
      <c r="E77" s="372" t="s">
        <v>195</v>
      </c>
      <c r="F77" s="404">
        <v>49465.603138945022</v>
      </c>
      <c r="G77" s="404">
        <v>15000</v>
      </c>
      <c r="H77" s="408">
        <f t="shared" si="1"/>
        <v>64465.603138945022</v>
      </c>
    </row>
    <row r="78" spans="1:8" x14ac:dyDescent="0.3">
      <c r="A78" s="372">
        <v>74</v>
      </c>
      <c r="B78" s="372" t="s">
        <v>405</v>
      </c>
      <c r="C78" s="372" t="s">
        <v>196</v>
      </c>
      <c r="D78" s="372" t="s">
        <v>423</v>
      </c>
      <c r="E78" s="372" t="s">
        <v>197</v>
      </c>
      <c r="F78" s="404">
        <v>259335.20006808295</v>
      </c>
      <c r="G78" s="404">
        <v>41500</v>
      </c>
      <c r="H78" s="408">
        <f t="shared" si="1"/>
        <v>300835.20006808295</v>
      </c>
    </row>
    <row r="79" spans="1:8" x14ac:dyDescent="0.3">
      <c r="A79" s="372">
        <v>75</v>
      </c>
      <c r="B79" s="372" t="s">
        <v>198</v>
      </c>
      <c r="C79" s="372" t="s">
        <v>199</v>
      </c>
      <c r="D79" s="372" t="s">
        <v>423</v>
      </c>
      <c r="E79" s="372" t="s">
        <v>200</v>
      </c>
      <c r="F79" s="404">
        <v>291813.24382586911</v>
      </c>
      <c r="G79" s="404">
        <v>37000</v>
      </c>
      <c r="H79" s="408">
        <f t="shared" si="1"/>
        <v>328813.24382586911</v>
      </c>
    </row>
    <row r="80" spans="1:8" x14ac:dyDescent="0.3">
      <c r="A80" s="372">
        <v>76</v>
      </c>
      <c r="B80" s="372" t="s">
        <v>396</v>
      </c>
      <c r="C80" s="372" t="s">
        <v>201</v>
      </c>
      <c r="D80" s="372" t="s">
        <v>327</v>
      </c>
      <c r="E80" s="372" t="s">
        <v>202</v>
      </c>
      <c r="F80" s="404">
        <v>406921.66519529116</v>
      </c>
      <c r="G80" s="404">
        <v>23500</v>
      </c>
      <c r="H80" s="408">
        <f t="shared" si="1"/>
        <v>430421.66519529116</v>
      </c>
    </row>
    <row r="81" spans="1:8" x14ac:dyDescent="0.3">
      <c r="A81" s="372">
        <v>77</v>
      </c>
      <c r="B81" s="372" t="s">
        <v>203</v>
      </c>
      <c r="C81" s="372" t="s">
        <v>204</v>
      </c>
      <c r="D81" s="372" t="s">
        <v>423</v>
      </c>
      <c r="E81" s="372" t="s">
        <v>205</v>
      </c>
      <c r="F81" s="404">
        <v>36171.817175383461</v>
      </c>
      <c r="G81" s="404">
        <v>17300</v>
      </c>
      <c r="H81" s="408">
        <f t="shared" si="1"/>
        <v>53471.817175383461</v>
      </c>
    </row>
    <row r="82" spans="1:8" x14ac:dyDescent="0.3">
      <c r="A82" s="372">
        <v>78</v>
      </c>
      <c r="B82" s="372" t="s">
        <v>397</v>
      </c>
      <c r="C82" s="372" t="s">
        <v>206</v>
      </c>
      <c r="D82" s="372" t="s">
        <v>327</v>
      </c>
      <c r="E82" s="372" t="s">
        <v>207</v>
      </c>
      <c r="F82" s="404">
        <v>419681.89524094411</v>
      </c>
      <c r="G82" s="404">
        <v>44800</v>
      </c>
      <c r="H82" s="408">
        <f t="shared" si="1"/>
        <v>464481.89524094411</v>
      </c>
    </row>
    <row r="83" spans="1:8" x14ac:dyDescent="0.3">
      <c r="A83" s="372">
        <v>79</v>
      </c>
      <c r="B83" s="372" t="s">
        <v>208</v>
      </c>
      <c r="C83" s="372" t="s">
        <v>209</v>
      </c>
      <c r="D83" s="372" t="s">
        <v>328</v>
      </c>
      <c r="E83" s="372" t="s">
        <v>210</v>
      </c>
      <c r="F83" s="404">
        <v>230710.51157131459</v>
      </c>
      <c r="G83" s="404">
        <v>40300</v>
      </c>
      <c r="H83" s="408">
        <f t="shared" si="1"/>
        <v>271010.51157131459</v>
      </c>
    </row>
    <row r="84" spans="1:8" x14ac:dyDescent="0.3">
      <c r="A84" s="372">
        <v>80</v>
      </c>
      <c r="B84" s="372" t="s">
        <v>211</v>
      </c>
      <c r="C84" s="372" t="s">
        <v>212</v>
      </c>
      <c r="D84" s="372" t="s">
        <v>423</v>
      </c>
      <c r="E84" s="372" t="s">
        <v>213</v>
      </c>
      <c r="F84" s="404">
        <v>408684.63615676865</v>
      </c>
      <c r="G84" s="404">
        <v>41200</v>
      </c>
      <c r="H84" s="408">
        <f t="shared" si="1"/>
        <v>449884.63615676865</v>
      </c>
    </row>
    <row r="85" spans="1:8" x14ac:dyDescent="0.3">
      <c r="A85" s="372">
        <v>81</v>
      </c>
      <c r="B85" s="372" t="s">
        <v>380</v>
      </c>
      <c r="C85" s="372" t="s">
        <v>214</v>
      </c>
      <c r="D85" s="372" t="s">
        <v>423</v>
      </c>
      <c r="E85" s="372" t="s">
        <v>215</v>
      </c>
      <c r="F85" s="404">
        <v>1841529.502345816</v>
      </c>
      <c r="G85" s="404">
        <v>116000</v>
      </c>
      <c r="H85" s="408">
        <f t="shared" si="1"/>
        <v>1957529.502345816</v>
      </c>
    </row>
    <row r="86" spans="1:8" x14ac:dyDescent="0.3">
      <c r="A86" s="372">
        <v>82</v>
      </c>
      <c r="B86" s="372" t="s">
        <v>216</v>
      </c>
      <c r="C86" s="372" t="s">
        <v>217</v>
      </c>
      <c r="D86" s="372" t="s">
        <v>327</v>
      </c>
      <c r="E86" s="372" t="s">
        <v>218</v>
      </c>
      <c r="F86" s="404">
        <v>3985933.263647865</v>
      </c>
      <c r="G86" s="404">
        <v>661000</v>
      </c>
      <c r="H86" s="408">
        <f t="shared" si="1"/>
        <v>4646933.2636478655</v>
      </c>
    </row>
    <row r="87" spans="1:8" x14ac:dyDescent="0.3">
      <c r="A87" s="372">
        <v>83</v>
      </c>
      <c r="B87" s="372" t="s">
        <v>219</v>
      </c>
      <c r="C87" s="372" t="s">
        <v>220</v>
      </c>
      <c r="D87" s="372" t="s">
        <v>328</v>
      </c>
      <c r="E87" s="372" t="s">
        <v>221</v>
      </c>
      <c r="F87" s="404">
        <v>442137.66643642844</v>
      </c>
      <c r="G87" s="404">
        <v>50500</v>
      </c>
      <c r="H87" s="408">
        <f t="shared" si="1"/>
        <v>492637.66643642844</v>
      </c>
    </row>
    <row r="88" spans="1:8" x14ac:dyDescent="0.3">
      <c r="A88" s="372">
        <v>84</v>
      </c>
      <c r="B88" s="372" t="s">
        <v>222</v>
      </c>
      <c r="C88" s="372" t="s">
        <v>223</v>
      </c>
      <c r="D88" s="372" t="s">
        <v>327</v>
      </c>
      <c r="E88" s="372" t="s">
        <v>224</v>
      </c>
      <c r="F88" s="404">
        <v>539340.46373738616</v>
      </c>
      <c r="G88" s="404">
        <v>122100</v>
      </c>
      <c r="H88" s="408">
        <f t="shared" si="1"/>
        <v>661440.46373738616</v>
      </c>
    </row>
    <row r="89" spans="1:8" x14ac:dyDescent="0.3">
      <c r="A89" s="372">
        <v>85</v>
      </c>
      <c r="B89" s="372" t="s">
        <v>225</v>
      </c>
      <c r="C89" s="372" t="s">
        <v>226</v>
      </c>
      <c r="D89" s="372" t="s">
        <v>328</v>
      </c>
      <c r="E89" s="372" t="s">
        <v>227</v>
      </c>
      <c r="F89" s="404">
        <v>383380.0823884806</v>
      </c>
      <c r="G89" s="404">
        <v>70000</v>
      </c>
      <c r="H89" s="408">
        <f t="shared" si="1"/>
        <v>453380.0823884806</v>
      </c>
    </row>
    <row r="90" spans="1:8" x14ac:dyDescent="0.3">
      <c r="A90" s="372">
        <v>86</v>
      </c>
      <c r="B90" s="372" t="s">
        <v>398</v>
      </c>
      <c r="C90" s="372" t="s">
        <v>228</v>
      </c>
      <c r="D90" s="372" t="s">
        <v>327</v>
      </c>
      <c r="E90" s="372" t="s">
        <v>229</v>
      </c>
      <c r="F90" s="404">
        <v>942672.83511927875</v>
      </c>
      <c r="G90" s="404">
        <v>130500</v>
      </c>
      <c r="H90" s="408">
        <f t="shared" si="1"/>
        <v>1073172.8351192786</v>
      </c>
    </row>
    <row r="91" spans="1:8" x14ac:dyDescent="0.3">
      <c r="A91" s="372">
        <v>87</v>
      </c>
      <c r="B91" s="372" t="s">
        <v>295</v>
      </c>
      <c r="C91" s="372" t="s">
        <v>296</v>
      </c>
      <c r="D91" s="372" t="s">
        <v>329</v>
      </c>
      <c r="E91" s="372" t="s">
        <v>297</v>
      </c>
      <c r="F91" s="404">
        <v>2645778.1797244633</v>
      </c>
      <c r="G91" s="404">
        <v>200000</v>
      </c>
      <c r="H91" s="408">
        <f t="shared" si="1"/>
        <v>2845778.1797244633</v>
      </c>
    </row>
    <row r="92" spans="1:8" x14ac:dyDescent="0.3">
      <c r="A92" s="372">
        <v>88</v>
      </c>
      <c r="B92" s="372" t="s">
        <v>230</v>
      </c>
      <c r="C92" s="372" t="s">
        <v>231</v>
      </c>
      <c r="D92" s="372" t="s">
        <v>328</v>
      </c>
      <c r="E92" s="372" t="s">
        <v>232</v>
      </c>
      <c r="F92" s="404">
        <v>280695.9210673917</v>
      </c>
      <c r="G92" s="404">
        <v>110000</v>
      </c>
      <c r="H92" s="408">
        <f t="shared" si="1"/>
        <v>390695.9210673917</v>
      </c>
    </row>
    <row r="93" spans="1:8" x14ac:dyDescent="0.3">
      <c r="A93" s="372">
        <v>89</v>
      </c>
      <c r="B93" s="372" t="s">
        <v>233</v>
      </c>
      <c r="C93" s="372" t="s">
        <v>234</v>
      </c>
      <c r="D93" s="372" t="s">
        <v>423</v>
      </c>
      <c r="E93" s="372" t="s">
        <v>235</v>
      </c>
      <c r="F93" s="404">
        <v>275782.35503713845</v>
      </c>
      <c r="G93" s="404">
        <v>50800</v>
      </c>
      <c r="H93" s="408">
        <f t="shared" si="1"/>
        <v>326582.35503713845</v>
      </c>
    </row>
    <row r="94" spans="1:8" x14ac:dyDescent="0.3">
      <c r="A94" s="372">
        <v>90</v>
      </c>
      <c r="B94" s="372" t="s">
        <v>399</v>
      </c>
      <c r="C94" s="372" t="s">
        <v>236</v>
      </c>
      <c r="D94" s="372" t="s">
        <v>327</v>
      </c>
      <c r="E94" s="372" t="s">
        <v>237</v>
      </c>
      <c r="F94" s="404">
        <v>45894.519054300574</v>
      </c>
      <c r="G94" s="404">
        <v>26200</v>
      </c>
      <c r="H94" s="408">
        <f t="shared" si="1"/>
        <v>72094.519054300574</v>
      </c>
    </row>
    <row r="95" spans="1:8" x14ac:dyDescent="0.3">
      <c r="A95" s="372">
        <v>91</v>
      </c>
      <c r="B95" s="372" t="s">
        <v>238</v>
      </c>
      <c r="C95" s="372" t="s">
        <v>607</v>
      </c>
      <c r="D95" s="372" t="s">
        <v>329</v>
      </c>
      <c r="E95" s="372" t="s">
        <v>240</v>
      </c>
      <c r="F95" s="404">
        <v>337143.57043293543</v>
      </c>
      <c r="G95" s="404">
        <v>29800</v>
      </c>
      <c r="H95" s="408">
        <f t="shared" si="1"/>
        <v>366943.57043293543</v>
      </c>
    </row>
    <row r="96" spans="1:8" x14ac:dyDescent="0.3">
      <c r="A96" s="372">
        <v>92</v>
      </c>
      <c r="B96" s="372" t="s">
        <v>241</v>
      </c>
      <c r="C96" s="372" t="s">
        <v>242</v>
      </c>
      <c r="D96" s="372" t="s">
        <v>423</v>
      </c>
      <c r="E96" s="372" t="s">
        <v>243</v>
      </c>
      <c r="F96" s="404">
        <v>804649.85748355649</v>
      </c>
      <c r="G96" s="404">
        <v>70000</v>
      </c>
      <c r="H96" s="408">
        <f t="shared" si="1"/>
        <v>874649.85748355649</v>
      </c>
    </row>
    <row r="97" spans="1:8" x14ac:dyDescent="0.3">
      <c r="A97" s="372">
        <v>93</v>
      </c>
      <c r="B97" s="372" t="s">
        <v>336</v>
      </c>
      <c r="C97" s="372" t="s">
        <v>244</v>
      </c>
      <c r="D97" s="372" t="s">
        <v>328</v>
      </c>
      <c r="E97" s="372" t="s">
        <v>245</v>
      </c>
      <c r="F97" s="404">
        <v>386357.29696299235</v>
      </c>
      <c r="G97" s="404">
        <v>33800</v>
      </c>
      <c r="H97" s="408">
        <f t="shared" si="1"/>
        <v>420157.29696299235</v>
      </c>
    </row>
    <row r="98" spans="1:8" x14ac:dyDescent="0.3">
      <c r="A98" s="372">
        <v>94</v>
      </c>
      <c r="B98" s="372" t="s">
        <v>381</v>
      </c>
      <c r="C98" s="372" t="s">
        <v>246</v>
      </c>
      <c r="D98" s="372" t="s">
        <v>423</v>
      </c>
      <c r="E98" s="372" t="s">
        <v>247</v>
      </c>
      <c r="F98" s="404">
        <v>728932.38514672732</v>
      </c>
      <c r="G98" s="404">
        <v>48600</v>
      </c>
      <c r="H98" s="408">
        <f t="shared" si="1"/>
        <v>777532.38514672732</v>
      </c>
    </row>
    <row r="99" spans="1:8" x14ac:dyDescent="0.3">
      <c r="A99" s="372">
        <v>95</v>
      </c>
      <c r="B99" s="372" t="s">
        <v>248</v>
      </c>
      <c r="C99" s="372" t="s">
        <v>249</v>
      </c>
      <c r="D99" s="372" t="s">
        <v>423</v>
      </c>
      <c r="E99" s="372" t="s">
        <v>250</v>
      </c>
      <c r="F99" s="404">
        <v>4942632.5764746517</v>
      </c>
      <c r="G99" s="404">
        <v>647300</v>
      </c>
      <c r="H99" s="408">
        <f t="shared" si="1"/>
        <v>5589932.5764746517</v>
      </c>
    </row>
    <row r="100" spans="1:8" x14ac:dyDescent="0.3">
      <c r="A100" s="372">
        <v>96</v>
      </c>
      <c r="B100" s="372" t="s">
        <v>382</v>
      </c>
      <c r="C100" s="372" t="s">
        <v>251</v>
      </c>
      <c r="D100" s="372" t="s">
        <v>423</v>
      </c>
      <c r="E100" s="372" t="s">
        <v>252</v>
      </c>
      <c r="F100" s="404">
        <v>690375.89590003446</v>
      </c>
      <c r="G100" s="404">
        <v>120000</v>
      </c>
      <c r="H100" s="408">
        <f t="shared" si="1"/>
        <v>810375.89590003446</v>
      </c>
    </row>
    <row r="101" spans="1:8" x14ac:dyDescent="0.3">
      <c r="A101" s="372">
        <v>97</v>
      </c>
      <c r="B101" s="372" t="s">
        <v>407</v>
      </c>
      <c r="C101" s="372" t="s">
        <v>353</v>
      </c>
      <c r="D101" s="372" t="s">
        <v>339</v>
      </c>
      <c r="E101" s="372" t="s">
        <v>351</v>
      </c>
      <c r="F101" s="404">
        <v>1791701.6575534744</v>
      </c>
      <c r="G101" s="404">
        <v>111000</v>
      </c>
      <c r="H101" s="408">
        <f t="shared" si="1"/>
        <v>1902701.6575534744</v>
      </c>
    </row>
    <row r="102" spans="1:8" x14ac:dyDescent="0.3">
      <c r="A102" s="372">
        <v>98</v>
      </c>
      <c r="B102" s="372" t="s">
        <v>400</v>
      </c>
      <c r="C102" s="372" t="s">
        <v>253</v>
      </c>
      <c r="D102" s="372" t="s">
        <v>327</v>
      </c>
      <c r="E102" s="372" t="s">
        <v>254</v>
      </c>
      <c r="F102" s="404">
        <v>661873.49046383321</v>
      </c>
      <c r="G102" s="404">
        <v>78500</v>
      </c>
      <c r="H102" s="408">
        <f t="shared" si="1"/>
        <v>740373.49046383321</v>
      </c>
    </row>
    <row r="103" spans="1:8" x14ac:dyDescent="0.3">
      <c r="A103" s="372">
        <v>99</v>
      </c>
      <c r="B103" s="372" t="s">
        <v>406</v>
      </c>
      <c r="C103" s="372" t="s">
        <v>352</v>
      </c>
      <c r="D103" s="372" t="s">
        <v>339</v>
      </c>
      <c r="E103" s="372" t="s">
        <v>608</v>
      </c>
      <c r="F103" s="404">
        <v>2341997.1577136638</v>
      </c>
      <c r="G103" s="404">
        <v>42500</v>
      </c>
      <c r="H103" s="408">
        <f t="shared" si="1"/>
        <v>2384497.1577136638</v>
      </c>
    </row>
    <row r="104" spans="1:8" x14ac:dyDescent="0.3">
      <c r="A104" s="372">
        <v>100</v>
      </c>
      <c r="B104" s="372" t="s">
        <v>406</v>
      </c>
      <c r="C104" s="372" t="s">
        <v>255</v>
      </c>
      <c r="D104" s="372" t="s">
        <v>339</v>
      </c>
      <c r="E104" s="372" t="s">
        <v>609</v>
      </c>
      <c r="F104" s="404">
        <v>997897.5576135834</v>
      </c>
      <c r="G104" s="404">
        <v>56200</v>
      </c>
      <c r="H104" s="408">
        <f t="shared" si="1"/>
        <v>1054097.5576135833</v>
      </c>
    </row>
    <row r="105" spans="1:8" x14ac:dyDescent="0.3">
      <c r="A105" s="372"/>
      <c r="B105" s="372"/>
      <c r="C105" s="372" t="s">
        <v>531</v>
      </c>
      <c r="D105" s="372" t="s">
        <v>339</v>
      </c>
      <c r="E105" s="372" t="s">
        <v>256</v>
      </c>
      <c r="F105" s="404">
        <v>3339894.7153272466</v>
      </c>
      <c r="G105" s="404">
        <v>98700</v>
      </c>
      <c r="H105" s="408">
        <f t="shared" si="1"/>
        <v>3438594.7153272466</v>
      </c>
    </row>
    <row r="106" spans="1:8" x14ac:dyDescent="0.3">
      <c r="A106" s="372">
        <v>101</v>
      </c>
      <c r="B106" s="372" t="s">
        <v>383</v>
      </c>
      <c r="C106" s="372" t="s">
        <v>257</v>
      </c>
      <c r="D106" s="372" t="s">
        <v>423</v>
      </c>
      <c r="E106" s="372" t="s">
        <v>258</v>
      </c>
      <c r="F106" s="404">
        <v>27863.713409455035</v>
      </c>
      <c r="G106" s="404">
        <v>20600</v>
      </c>
      <c r="H106" s="408">
        <f t="shared" si="1"/>
        <v>48463.713409455035</v>
      </c>
    </row>
    <row r="107" spans="1:8" x14ac:dyDescent="0.3">
      <c r="A107" s="372">
        <v>102</v>
      </c>
      <c r="B107" s="372" t="s">
        <v>259</v>
      </c>
      <c r="C107" s="372" t="s">
        <v>260</v>
      </c>
      <c r="D107" s="372" t="s">
        <v>329</v>
      </c>
      <c r="E107" s="372" t="s">
        <v>261</v>
      </c>
      <c r="F107" s="404">
        <v>1381787.6899389361</v>
      </c>
      <c r="G107" s="404">
        <v>42300</v>
      </c>
      <c r="H107" s="408">
        <f t="shared" si="1"/>
        <v>1424087.6899389361</v>
      </c>
    </row>
    <row r="108" spans="1:8" x14ac:dyDescent="0.3">
      <c r="A108" s="372">
        <v>103</v>
      </c>
      <c r="B108" s="372" t="s">
        <v>417</v>
      </c>
      <c r="C108" s="372" t="s">
        <v>262</v>
      </c>
      <c r="D108" s="372" t="s">
        <v>327</v>
      </c>
      <c r="E108" s="372" t="s">
        <v>263</v>
      </c>
      <c r="F108" s="404">
        <v>454578.85002304608</v>
      </c>
      <c r="G108" s="404">
        <v>39800</v>
      </c>
      <c r="H108" s="408">
        <f t="shared" si="1"/>
        <v>494378.85002304608</v>
      </c>
    </row>
    <row r="109" spans="1:8" x14ac:dyDescent="0.3">
      <c r="A109" s="372">
        <v>104</v>
      </c>
      <c r="B109" s="372" t="s">
        <v>266</v>
      </c>
      <c r="C109" s="372" t="s">
        <v>267</v>
      </c>
      <c r="D109" s="372" t="s">
        <v>327</v>
      </c>
      <c r="E109" s="372" t="s">
        <v>268</v>
      </c>
      <c r="F109" s="404">
        <v>491328.69321458484</v>
      </c>
      <c r="G109" s="404">
        <v>18300</v>
      </c>
      <c r="H109" s="408">
        <f t="shared" si="1"/>
        <v>509628.69321458484</v>
      </c>
    </row>
    <row r="110" spans="1:8" x14ac:dyDescent="0.3">
      <c r="A110" s="372">
        <v>105</v>
      </c>
      <c r="B110" s="372" t="s">
        <v>384</v>
      </c>
      <c r="C110" s="372" t="s">
        <v>269</v>
      </c>
      <c r="D110" s="372" t="s">
        <v>423</v>
      </c>
      <c r="E110" s="372" t="s">
        <v>270</v>
      </c>
      <c r="F110" s="404">
        <v>254959.84222017028</v>
      </c>
      <c r="G110" s="404">
        <v>15200</v>
      </c>
      <c r="H110" s="408">
        <f t="shared" si="1"/>
        <v>270159.84222017031</v>
      </c>
    </row>
    <row r="111" spans="1:8" x14ac:dyDescent="0.3">
      <c r="A111" s="372">
        <v>106</v>
      </c>
      <c r="B111" s="372" t="s">
        <v>342</v>
      </c>
      <c r="C111" s="372" t="s">
        <v>341</v>
      </c>
      <c r="D111" s="372" t="s">
        <v>328</v>
      </c>
      <c r="E111" s="372" t="s">
        <v>343</v>
      </c>
      <c r="F111" s="404">
        <v>284383.14383040374</v>
      </c>
      <c r="G111" s="404">
        <v>22900</v>
      </c>
      <c r="H111" s="408">
        <f t="shared" si="1"/>
        <v>307283.14383040374</v>
      </c>
    </row>
    <row r="112" spans="1:8" x14ac:dyDescent="0.3">
      <c r="A112" s="372">
        <v>107</v>
      </c>
      <c r="B112" s="372" t="s">
        <v>271</v>
      </c>
      <c r="C112" s="372" t="s">
        <v>272</v>
      </c>
      <c r="D112" s="372" t="s">
        <v>423</v>
      </c>
      <c r="E112" s="372" t="s">
        <v>273</v>
      </c>
      <c r="F112" s="404">
        <v>210080.46040880962</v>
      </c>
      <c r="G112" s="404">
        <v>30300</v>
      </c>
      <c r="H112" s="408">
        <f t="shared" si="1"/>
        <v>240380.46040880962</v>
      </c>
    </row>
    <row r="113" spans="1:8" x14ac:dyDescent="0.3">
      <c r="A113" s="372">
        <v>108</v>
      </c>
      <c r="B113" s="372" t="s">
        <v>274</v>
      </c>
      <c r="C113" s="372" t="s">
        <v>275</v>
      </c>
      <c r="D113" s="372" t="s">
        <v>329</v>
      </c>
      <c r="E113" s="372" t="s">
        <v>276</v>
      </c>
      <c r="F113" s="404">
        <v>469937.05952794029</v>
      </c>
      <c r="G113" s="404">
        <v>125300</v>
      </c>
      <c r="H113" s="408">
        <f t="shared" si="1"/>
        <v>595237.05952794035</v>
      </c>
    </row>
    <row r="114" spans="1:8" x14ac:dyDescent="0.3">
      <c r="A114" s="372">
        <v>109</v>
      </c>
      <c r="B114" s="372" t="s">
        <v>418</v>
      </c>
      <c r="C114" s="372" t="s">
        <v>277</v>
      </c>
      <c r="D114" s="372" t="s">
        <v>327</v>
      </c>
      <c r="E114" s="372" t="s">
        <v>278</v>
      </c>
      <c r="F114" s="404">
        <v>258261.81750385475</v>
      </c>
      <c r="G114" s="404">
        <v>23400</v>
      </c>
      <c r="H114" s="408">
        <f t="shared" si="1"/>
        <v>281661.81750385475</v>
      </c>
    </row>
    <row r="115" spans="1:8" x14ac:dyDescent="0.3">
      <c r="A115" s="372">
        <v>110</v>
      </c>
      <c r="B115" s="372" t="s">
        <v>279</v>
      </c>
      <c r="C115" s="372" t="s">
        <v>280</v>
      </c>
      <c r="D115" s="372" t="s">
        <v>423</v>
      </c>
      <c r="E115" s="372" t="s">
        <v>281</v>
      </c>
      <c r="F115" s="404">
        <v>425539.86416514672</v>
      </c>
      <c r="G115" s="404">
        <v>54700</v>
      </c>
      <c r="H115" s="408">
        <f t="shared" si="1"/>
        <v>480239.86416514672</v>
      </c>
    </row>
    <row r="116" spans="1:8" x14ac:dyDescent="0.3">
      <c r="A116" s="372">
        <v>111</v>
      </c>
      <c r="B116" s="372" t="s">
        <v>282</v>
      </c>
      <c r="C116" s="372" t="s">
        <v>283</v>
      </c>
      <c r="D116" s="372" t="s">
        <v>328</v>
      </c>
      <c r="E116" s="372" t="s">
        <v>284</v>
      </c>
      <c r="F116" s="404">
        <v>426827.19011968491</v>
      </c>
      <c r="G116" s="404">
        <v>75100</v>
      </c>
      <c r="H116" s="408">
        <f t="shared" si="1"/>
        <v>501927.19011968491</v>
      </c>
    </row>
    <row r="117" spans="1:8" x14ac:dyDescent="0.3">
      <c r="A117" s="372">
        <v>112</v>
      </c>
      <c r="B117" s="372" t="s">
        <v>408</v>
      </c>
      <c r="C117" s="372" t="s">
        <v>285</v>
      </c>
      <c r="D117" s="372" t="s">
        <v>329</v>
      </c>
      <c r="E117" s="372" t="s">
        <v>286</v>
      </c>
      <c r="F117" s="404">
        <v>975091.41819343006</v>
      </c>
      <c r="G117" s="404">
        <v>455500</v>
      </c>
      <c r="H117" s="408">
        <f t="shared" si="1"/>
        <v>1430591.4181934302</v>
      </c>
    </row>
    <row r="118" spans="1:8" x14ac:dyDescent="0.3">
      <c r="A118" s="372">
        <v>113</v>
      </c>
      <c r="B118" s="372" t="s">
        <v>385</v>
      </c>
      <c r="C118" s="372" t="s">
        <v>264</v>
      </c>
      <c r="D118" s="372" t="s">
        <v>423</v>
      </c>
      <c r="E118" s="372" t="s">
        <v>265</v>
      </c>
      <c r="F118" s="404">
        <v>449238.1649675424</v>
      </c>
      <c r="G118" s="404">
        <v>42900</v>
      </c>
      <c r="H118" s="408">
        <f t="shared" si="1"/>
        <v>492138.1649675424</v>
      </c>
    </row>
    <row r="119" spans="1:8" x14ac:dyDescent="0.3">
      <c r="A119" s="372">
        <v>114</v>
      </c>
      <c r="B119" s="372" t="s">
        <v>474</v>
      </c>
      <c r="C119" s="372" t="s">
        <v>475</v>
      </c>
      <c r="D119" s="372" t="s">
        <v>328</v>
      </c>
      <c r="E119" s="372" t="s">
        <v>346</v>
      </c>
      <c r="F119" s="404">
        <v>68135.051133826462</v>
      </c>
      <c r="G119" s="404">
        <v>0</v>
      </c>
      <c r="H119" s="408">
        <f t="shared" si="1"/>
        <v>68135.051133826462</v>
      </c>
    </row>
    <row r="120" spans="1:8" x14ac:dyDescent="0.3">
      <c r="A120" s="372">
        <v>115</v>
      </c>
      <c r="B120" s="372" t="s">
        <v>287</v>
      </c>
      <c r="C120" s="372" t="s">
        <v>288</v>
      </c>
      <c r="D120" s="372" t="s">
        <v>327</v>
      </c>
      <c r="E120" s="372" t="s">
        <v>289</v>
      </c>
      <c r="F120" s="404">
        <v>234169.01876760359</v>
      </c>
      <c r="G120" s="404">
        <v>13900</v>
      </c>
      <c r="H120" s="408">
        <f t="shared" si="1"/>
        <v>248069.01876760359</v>
      </c>
    </row>
    <row r="121" spans="1:8" x14ac:dyDescent="0.3">
      <c r="A121" s="372">
        <v>116</v>
      </c>
      <c r="B121" s="372" t="s">
        <v>290</v>
      </c>
      <c r="C121" s="372" t="s">
        <v>291</v>
      </c>
      <c r="D121" s="372" t="s">
        <v>328</v>
      </c>
      <c r="E121" s="372" t="s">
        <v>292</v>
      </c>
      <c r="F121" s="404">
        <v>420778.76969175698</v>
      </c>
      <c r="G121" s="404">
        <v>51800</v>
      </c>
      <c r="H121" s="408">
        <f t="shared" si="1"/>
        <v>472578.76969175698</v>
      </c>
    </row>
    <row r="122" spans="1:8" x14ac:dyDescent="0.3">
      <c r="A122" s="372">
        <v>117</v>
      </c>
      <c r="B122" s="372" t="s">
        <v>401</v>
      </c>
      <c r="C122" s="372" t="s">
        <v>293</v>
      </c>
      <c r="D122" s="372" t="s">
        <v>327</v>
      </c>
      <c r="E122" s="372" t="s">
        <v>294</v>
      </c>
      <c r="F122" s="404">
        <v>234907.01357737838</v>
      </c>
      <c r="G122" s="404">
        <v>28700</v>
      </c>
      <c r="H122" s="408">
        <f t="shared" si="1"/>
        <v>263607.01357737835</v>
      </c>
    </row>
    <row r="123" spans="1:8" x14ac:dyDescent="0.3">
      <c r="A123" s="372">
        <v>118</v>
      </c>
      <c r="B123" s="372" t="s">
        <v>386</v>
      </c>
      <c r="C123" s="372" t="s">
        <v>298</v>
      </c>
      <c r="D123" s="372" t="s">
        <v>423</v>
      </c>
      <c r="E123" s="372" t="s">
        <v>299</v>
      </c>
      <c r="F123" s="404">
        <v>329459.02408823278</v>
      </c>
      <c r="G123" s="404">
        <v>59400</v>
      </c>
      <c r="H123" s="408">
        <f t="shared" si="1"/>
        <v>388859.02408823278</v>
      </c>
    </row>
    <row r="124" spans="1:8" x14ac:dyDescent="0.3">
      <c r="A124" s="372">
        <v>119</v>
      </c>
      <c r="B124" s="372" t="s">
        <v>387</v>
      </c>
      <c r="C124" s="372" t="s">
        <v>300</v>
      </c>
      <c r="D124" s="372" t="s">
        <v>423</v>
      </c>
      <c r="E124" s="372" t="s">
        <v>301</v>
      </c>
      <c r="F124" s="404">
        <v>499867.35495345504</v>
      </c>
      <c r="G124" s="404">
        <v>80600</v>
      </c>
      <c r="H124" s="408">
        <f t="shared" si="1"/>
        <v>580467.35495345504</v>
      </c>
    </row>
    <row r="125" spans="1:8" s="295" customFormat="1" x14ac:dyDescent="0.3">
      <c r="A125" s="406"/>
      <c r="B125" s="406"/>
      <c r="C125" s="406" t="s">
        <v>532</v>
      </c>
      <c r="D125" s="406" t="s">
        <v>532</v>
      </c>
      <c r="E125" s="406" t="s">
        <v>532</v>
      </c>
      <c r="F125" s="407">
        <v>75905648.674534395</v>
      </c>
      <c r="G125" s="407">
        <v>9093830</v>
      </c>
      <c r="H125" s="407">
        <f t="shared" si="1"/>
        <v>84999478.674534395</v>
      </c>
    </row>
  </sheetData>
  <pageMargins left="0.45" right="0.2" top="0.5" bottom="0.2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161f5b-24a3-4c2d-bc81-44cb9325e8ee">ATLASPDC-4-25520</_dlc_DocId>
    <_dlc_DocIdUrl xmlns="f1161f5b-24a3-4c2d-bc81-44cb9325e8ee">
      <Url>https://info.undp.org/docs/pdc/_layouts/DocIdRedir.aspx?ID=ATLASPDC-4-25520</Url>
      <Description>ATLASPDC-4-25520</Description>
    </_dlc_DocIdUrl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2015-02-02T08:00:00+00:00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>MDA</UndpOUCode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Proposal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_Publisher xmlns="http://schemas.microsoft.com/sharepoint/v3/fields" xsi:nil="true"/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1099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00086748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MDA</TermName>
          <TermId xmlns="http://schemas.microsoft.com/office/infopath/2007/PartnerControls">f0c452b5-3c0d-419c-976f-14028bd37c91</TermId>
        </TermInfo>
      </Terms>
    </gc6531b704974d528487414686b72f6f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50D256-9517-4222-BEC1-E0F98A34E01F}"/>
</file>

<file path=customXml/itemProps2.xml><?xml version="1.0" encoding="utf-8"?>
<ds:datastoreItem xmlns:ds="http://schemas.openxmlformats.org/officeDocument/2006/customXml" ds:itemID="{772DC299-D2C6-4217-BD03-E475B7E05209}"/>
</file>

<file path=customXml/itemProps3.xml><?xml version="1.0" encoding="utf-8"?>
<ds:datastoreItem xmlns:ds="http://schemas.openxmlformats.org/officeDocument/2006/customXml" ds:itemID="{CA7A3FC8-156D-4C23-B0E3-70918357563A}"/>
</file>

<file path=customXml/itemProps4.xml><?xml version="1.0" encoding="utf-8"?>
<ds:datastoreItem xmlns:ds="http://schemas.openxmlformats.org/officeDocument/2006/customXml" ds:itemID="{DD0FC4F1-5837-48BD-92D1-894A54FA9F22}"/>
</file>

<file path=customXml/itemProps5.xml><?xml version="1.0" encoding="utf-8"?>
<ds:datastoreItem xmlns:ds="http://schemas.openxmlformats.org/officeDocument/2006/customXml" ds:itemID="{482AE556-E7F7-4755-9EBD-1018E67589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By_country</vt:lpstr>
      <vt:lpstr>Petty Cash</vt:lpstr>
      <vt:lpstr>UAE_detail</vt:lpstr>
      <vt:lpstr>2015 ASL</vt:lpstr>
      <vt:lpstr>2015 Appr staffing table</vt:lpstr>
      <vt:lpstr>2015 ProForma</vt:lpstr>
      <vt:lpstr>staff_change</vt:lpstr>
      <vt:lpstr>ASL</vt:lpstr>
      <vt:lpstr>'2015 ASL'!Print_Titles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ASL</dc:title>
  <dc:subject/>
  <dc:creator>bchuluun</dc:creator>
  <cp:lastModifiedBy>Tatiana Rybac</cp:lastModifiedBy>
  <cp:lastPrinted>2015-01-13T06:23:24Z</cp:lastPrinted>
  <dcterms:created xsi:type="dcterms:W3CDTF">2007-11-26T15:18:26Z</dcterms:created>
  <dcterms:modified xsi:type="dcterms:W3CDTF">2015-01-13T06:23:48Z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841cb770-8d68-4231-8093-2dac7bd3fe24</vt:lpwstr>
  </property>
  <property fmtid="{D5CDD505-2E9C-101B-9397-08002B2CF9AE}" pid="3" name="ContentTypeId">
    <vt:lpwstr>0x010100F075C04BA242A84ABD3293E3AD35CDA400AB50428DC784B44FAACCAA5FAE40C0590045B5E632B552204ABF0E616DD66BDA0F</vt:lpwstr>
  </property>
  <property fmtid="{D5CDD505-2E9C-101B-9397-08002B2CF9AE}" pid="4" name="UNDPCountry">
    <vt:lpwstr/>
  </property>
  <property fmtid="{D5CDD505-2E9C-101B-9397-08002B2CF9AE}" pid="5" name="Atlas_x0020_Document_x0020_Type">
    <vt:lpwstr>287;#Budget|fc549c7a-78dd-43bd-a1be-cfb989f8b34d</vt:lpwstr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1099;#MDA|f0c452b5-3c0d-419c-976f-14028bd37c91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UndpDocTypeMM">
    <vt:lpwstr/>
  </property>
  <property fmtid="{D5CDD505-2E9C-101B-9397-08002B2CF9AE}" pid="17" name="Atlas Document Type">
    <vt:lpwstr>1109;#Budget|1c1fa43a-cb36-4844-8715-9a4cc93e1ac9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