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5480" windowHeight="8910" activeTab="0"/>
  </bookViews>
  <sheets>
    <sheet name="CALCULATION SHEET" sheetId="1" r:id="rId1"/>
    <sheet name="voucher" sheetId="2" state="hidden" r:id="rId2"/>
  </sheets>
  <definedNames>
    <definedName name="_xlnm.Print_Area" localSheetId="0">'CALCULATION SHEET'!$A$1:$J$105</definedName>
  </definedNames>
  <calcPr fullCalcOnLoad="1"/>
</workbook>
</file>

<file path=xl/comments1.xml><?xml version="1.0" encoding="utf-8"?>
<comments xmlns="http://schemas.openxmlformats.org/spreadsheetml/2006/main">
  <authors>
    <author>steven.luse</author>
    <author>steven.arielsson</author>
  </authors>
  <commentList>
    <comment ref="E95" authorId="0">
      <text>
        <r>
          <rPr>
            <b/>
            <sz val="8"/>
            <rFont val="Tahoma"/>
            <family val="2"/>
          </rPr>
          <t>steven.luse: if the EOD date is 01/01/1990 or later the normal retirement date is 62.  If before 01/01/1990 the normal retirement date is 60</t>
        </r>
      </text>
    </comment>
    <comment ref="I27" authorId="1">
      <text>
        <r>
          <rPr>
            <b/>
            <sz val="9"/>
            <rFont val="Tahoma"/>
            <family val="0"/>
          </rPr>
          <t>This is now paid through Atlas payroll from the reserve accounts set up with IPSAS.  It is not included in the costing.</t>
        </r>
      </text>
    </comment>
    <comment ref="J27" authorId="1">
      <text>
        <r>
          <rPr>
            <b/>
            <sz val="9"/>
            <rFont val="Tahoma"/>
            <family val="0"/>
          </rPr>
          <t>Commutation of annual leave should only be paid via Atlas payroll, where it will be correctly charged to the IPSAS reserve accounts for accrued annual leave.  It is no longer to be paid via the Agreed Separations payment vouchers.
The new instructions have been sent out on the networks.  Please ensure that both Atlas entries are made for the gross Salary and Staff Assessment portions separately.  It is also important to select the correct one time elements.
Data entry for commutation of annual leave must pick the right element:
Non-IPSAS agency: UNER_COM_LV (for the Gross Sal amount) and UNDD_COM_LV (for the Staff Assessment amount) 
or 
IPSAS agency: UNER_COM_LVA (for the Gross Salary amount) and UNDD_COM_LVA (for the Staff Assessment amount)
Entries must now include the manually calculated numeric amount, as well as the number of days being commuted (units).
https://undp.unteamworks.org/node/175705</t>
        </r>
      </text>
    </comment>
    <comment ref="J47" authorId="1">
      <text>
        <r>
          <rPr>
            <b/>
            <sz val="9"/>
            <rFont val="Tahoma"/>
            <family val="0"/>
          </rPr>
          <t>Commutation of annual leave should only be paid via Atlas payroll, where it will be correctly charged to the IPSAS reserve accounts for accrued annual leave.  It is no longer to be paid via the Agreed Separations payment vouchers.
The new instructions have been sent out on the networks.  Please ensure that both Atlas entries are made for the gross Salary and Staff Assessment portions separately.  It is also important to select the correct one time elements.
Data entry for commutation of annual leave must pick the right element:
Non-IPSAS agency: UNER_COM_LV (for the Gross Sal amount) and UNDD_COM_LV (for the Staff Assessment amount) 
or 
IPSAS agency: UNER_COM_LVA (for the Gross Salary amount) and UNDD_COM_LVA (for the Staff Assessment amount)
Entries must now include the manually calculated numeric amount, as well as the number of days being commuted (units).
https://undp.unteamworks.org/node/175705</t>
        </r>
      </text>
    </comment>
  </commentList>
</comments>
</file>

<file path=xl/sharedStrings.xml><?xml version="1.0" encoding="utf-8"?>
<sst xmlns="http://schemas.openxmlformats.org/spreadsheetml/2006/main" count="152" uniqueCount="141">
  <si>
    <t>Name:</t>
  </si>
  <si>
    <t>Index:</t>
  </si>
  <si>
    <t>Duty Station:</t>
  </si>
  <si>
    <t>Grade/Level:</t>
  </si>
  <si>
    <t>Country:</t>
  </si>
  <si>
    <t>Total Indemnnity:</t>
  </si>
  <si>
    <t>Net Salary:</t>
  </si>
  <si>
    <t>Health Insurance:</t>
  </si>
  <si>
    <t>Dental Insurance:</t>
  </si>
  <si>
    <t>Life Insurance:</t>
  </si>
  <si>
    <t>Net Pay:</t>
  </si>
  <si>
    <t>Gross Salary:</t>
  </si>
  <si>
    <t>Staff Assessment:</t>
  </si>
  <si>
    <t>Monthly Salary</t>
  </si>
  <si>
    <t>Rate/Day</t>
  </si>
  <si>
    <t>Entry on Duty:</t>
  </si>
  <si>
    <t>Separation Date (COB):</t>
  </si>
  <si>
    <t>Last Day of Active Service:</t>
  </si>
  <si>
    <t>Date of Birth:</t>
  </si>
  <si>
    <t>Days</t>
  </si>
  <si>
    <t xml:space="preserve">Monthly </t>
  </si>
  <si>
    <t>UNDP Contribution</t>
  </si>
  <si>
    <t>Lang. Allow.</t>
  </si>
  <si>
    <t>years</t>
  </si>
  <si>
    <t>months</t>
  </si>
  <si>
    <t>months of entitlement</t>
  </si>
  <si>
    <t>total:</t>
  </si>
  <si>
    <t>Dep. Child allowance:</t>
  </si>
  <si>
    <t>Net Monthly Salary</t>
  </si>
  <si>
    <t>normal retirement age</t>
  </si>
  <si>
    <t>years of service</t>
  </si>
  <si>
    <t>months entitlement</t>
  </si>
  <si>
    <t>Agreed/early seperations</t>
  </si>
  <si>
    <t>with additional 50% indemnity</t>
  </si>
  <si>
    <t>maximum number of full months of in lieu of notice due to retirement age</t>
  </si>
  <si>
    <t>days</t>
  </si>
  <si>
    <t>entitlement</t>
  </si>
  <si>
    <t>number of months indemnity based on length of service</t>
  </si>
  <si>
    <t>number of months indemnity based on time until retirement</t>
  </si>
  <si>
    <t>retirment age date:</t>
  </si>
  <si>
    <t>total time until retirement</t>
  </si>
  <si>
    <t>maximum months due to retirement age</t>
  </si>
  <si>
    <t>number of months indemnity</t>
  </si>
  <si>
    <t>Spouse allowance:</t>
  </si>
  <si>
    <t>SLWOP:</t>
  </si>
  <si>
    <t>Years taken:</t>
  </si>
  <si>
    <t>Months taken:</t>
  </si>
  <si>
    <t>subtotal</t>
  </si>
  <si>
    <t>for service</t>
  </si>
  <si>
    <t>Monthly Pension (organizations share):</t>
  </si>
  <si>
    <t>Workdays taken:</t>
  </si>
  <si>
    <t xml:space="preserve"> Monthly Health Insurance 
(Staff Members + Organizations share):</t>
  </si>
  <si>
    <t>remaining in medical benefit</t>
  </si>
  <si>
    <t>remaining in pension fund</t>
  </si>
  <si>
    <t>Staff member serving notice period</t>
  </si>
  <si>
    <t>additional 50% indemnity</t>
  </si>
  <si>
    <t>last day to use</t>
  </si>
  <si>
    <t>last day of service</t>
  </si>
  <si>
    <t>Staff member entitlement</t>
  </si>
  <si>
    <t>Organization costs</t>
  </si>
  <si>
    <t>Distribution of organizational costs
(local currency):</t>
  </si>
  <si>
    <t>Distribution of organizational costs
(USD):</t>
  </si>
  <si>
    <t>Totals</t>
  </si>
  <si>
    <t>Position number:</t>
  </si>
  <si>
    <t>SLWOP now</t>
  </si>
  <si>
    <t>SLWOP b4</t>
  </si>
  <si>
    <t>Years of Service:</t>
  </si>
  <si>
    <t>Years of active service:</t>
  </si>
  <si>
    <t>Months of active service:</t>
  </si>
  <si>
    <t>SLWOP taken before:</t>
  </si>
  <si>
    <t>SM taking SLWOP after last working day</t>
  </si>
  <si>
    <t>remaining in life insurance</t>
  </si>
  <si>
    <t>Pension contribution (Staff Member):</t>
  </si>
  <si>
    <t>normal retirement date default</t>
  </si>
  <si>
    <t>Account</t>
  </si>
  <si>
    <t>description</t>
  </si>
  <si>
    <t>Amount</t>
  </si>
  <si>
    <t>Life Insurance Premium:</t>
  </si>
  <si>
    <t>Total net pay</t>
  </si>
  <si>
    <t>Monthly amount</t>
  </si>
  <si>
    <t>Number of months used for calculation</t>
  </si>
  <si>
    <t>FINAL VOUCHER DETAILS, when no advance has been paid:</t>
  </si>
  <si>
    <t xml:space="preserve">Accounts Receivable </t>
  </si>
  <si>
    <t xml:space="preserve">Staff Receivable - Rental Adv A </t>
  </si>
  <si>
    <t xml:space="preserve">Staff Receivable - Emergcy Adv A </t>
  </si>
  <si>
    <t xml:space="preserve">Staff Receivable - Educ Grant A </t>
  </si>
  <si>
    <t xml:space="preserve">Educ Grant Intl &amp; HQs Sup Stf A </t>
  </si>
  <si>
    <t xml:space="preserve">Staff Receivable - Travel Adv A </t>
  </si>
  <si>
    <t xml:space="preserve">Pension Under/Over Contri Loca L </t>
  </si>
  <si>
    <t xml:space="preserve">Staff Receivable - Other A </t>
  </si>
  <si>
    <t xml:space="preserve">UNDP ARL (STAFF ARL) BRAZIL A </t>
  </si>
  <si>
    <t xml:space="preserve">Non-Staff Receivable - Travel A </t>
  </si>
  <si>
    <t xml:space="preserve">VAT/Sales Tax A </t>
  </si>
  <si>
    <t xml:space="preserve">Petrol Advance A </t>
  </si>
  <si>
    <t xml:space="preserve">Receivables Due in One Year A </t>
  </si>
  <si>
    <t xml:space="preserve">Long Term Receivables A </t>
  </si>
  <si>
    <t xml:space="preserve">Unapplied Deposits-Receivables A </t>
  </si>
  <si>
    <t xml:space="preserve">Unapplied Deps-Non-Receivables A </t>
  </si>
  <si>
    <t xml:space="preserve">Misc Accounts Receivable A </t>
  </si>
  <si>
    <t xml:space="preserve">Staff Recv - Telephone Charges A </t>
  </si>
  <si>
    <t xml:space="preserve">Rounding Suspense A </t>
  </si>
  <si>
    <t>TABLE OFACCOUNTS RECIEVABLE ACCOUNTS:</t>
  </si>
  <si>
    <t xml:space="preserve">Accounts Receivables - Reimbur </t>
  </si>
  <si>
    <t xml:space="preserve">Salary Overpay to Separtd Stf </t>
  </si>
  <si>
    <t xml:space="preserve">Accrued Interest Receivable </t>
  </si>
  <si>
    <t xml:space="preserve">Contributions Receivable </t>
  </si>
  <si>
    <t xml:space="preserve">Staff Receivable - Salary Adv </t>
  </si>
  <si>
    <t xml:space="preserve">Salary Adv- Intl &amp; HQ Sup Saff  </t>
  </si>
  <si>
    <t xml:space="preserve">Mid month adv - HQ Sup Staff </t>
  </si>
  <si>
    <t xml:space="preserve">Staff Receivables - Car Adv </t>
  </si>
  <si>
    <t>Amount:</t>
  </si>
  <si>
    <t>to be determined</t>
  </si>
  <si>
    <t>Not yet determined</t>
  </si>
  <si>
    <t>ANY OUTSTANDING AMOUNTS OWED BY THE STAFF MEMBER TO THE ORGANIZATION:</t>
  </si>
  <si>
    <t>Total charges to the staff member for SLWOP period:</t>
  </si>
  <si>
    <t>* Do not include implementing agent, project or donor for these charges.</t>
  </si>
  <si>
    <t>number months cash in liue of notice</t>
  </si>
  <si>
    <t>indemnity reduced by cash in lieu of notice and retirement</t>
  </si>
  <si>
    <t>Date</t>
  </si>
  <si>
    <t>Signature</t>
  </si>
  <si>
    <t>Print Name</t>
  </si>
  <si>
    <t>VERIFICATION and APPROVAL:</t>
  </si>
  <si>
    <t>Non UNDP organization (if applicable)</t>
  </si>
  <si>
    <t>NOTES:</t>
  </si>
  <si>
    <t>ESTIMATE OF TOTAL ENTITLEMENTS &amp; TOTAL COSTING:</t>
  </si>
  <si>
    <t>SPECIAL LEAVE WITHOUT PAY (SLWOP) DETAILS:</t>
  </si>
  <si>
    <t>Total length of SLWOP taken after:</t>
  </si>
  <si>
    <t>Months of TERMINATION INDEMNITY:</t>
  </si>
  <si>
    <t>AGREED SEPARATION CALCULATION SHEET for LOCAL FIXED TERM &amp; PERMENANT STAFF:</t>
  </si>
  <si>
    <t>SLWOP taken after last day worked:</t>
  </si>
  <si>
    <t>Commutation of  UNUSED ANNUAL LEAVE:</t>
  </si>
  <si>
    <t>UNDP on core funding (EB)</t>
  </si>
  <si>
    <t>UNDP on non-core funding (EX)</t>
  </si>
  <si>
    <t>Agency worked for and position funding type:</t>
  </si>
  <si>
    <t>% of continuous service period worked on each funding type</t>
  </si>
  <si>
    <t>Data verified &amp; approval by DRR(O):</t>
  </si>
  <si>
    <t>(Must be payed through the payroll.  Do not pay via accounts payable voucher)</t>
  </si>
  <si>
    <t>Total entitlement</t>
  </si>
  <si>
    <t>TOTAL Agreed Separation Voucher Payment to staff member in local currency:</t>
  </si>
  <si>
    <t>TOTAL amount for commutaion of unused annual leave(Payment via Atlas payroll):</t>
  </si>
  <si>
    <t>TOTAL COST TO ORGANIZATION(s) IN LOCAL CURRENCY (excluding any unused annual leave):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</si>
</sst>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00_ ;[Red]\-#,##0.00\ "/>
    <numFmt numFmtId="181" formatCode="[$-409]d\-mmm\-yy;@"/>
    <numFmt numFmtId="182" formatCode="&quot; UN EXCHANGE RATE TO USD EFFECTIVE ON&quot;\ dd/mm/yyyy&quot;:&quot;"/>
    <numFmt numFmtId="183" formatCode="#,##0.000000"/>
    <numFmt numFmtId="184" formatCode="#,##0.000"/>
    <numFmt numFmtId="185" formatCode="_(&quot;SLWOP after:&quot;\)_dd\-mmm\-yyyy"/>
    <numFmt numFmtId="186" formatCode="[$-809]dd\ mmmm\ yyyy"/>
    <numFmt numFmtId="187" formatCode="#,##0.00;[Red]#,##0.00"/>
    <numFmt numFmtId="188" formatCode="0.0000000000"/>
  </numFmts>
  <fonts count="49">
    <font>
      <sz val="10"/>
      <name val="Arial"/>
      <family val="0"/>
    </font>
    <font>
      <b/>
      <sz val="10"/>
      <name val="Arial"/>
      <family val="2"/>
    </font>
    <font>
      <b/>
      <sz val="12"/>
      <name val="Arial"/>
      <family val="2"/>
    </font>
    <font>
      <sz val="9"/>
      <name val="Arial"/>
      <family val="2"/>
    </font>
    <font>
      <b/>
      <sz val="9"/>
      <name val="Arial"/>
      <family val="2"/>
    </font>
    <font>
      <b/>
      <sz val="9"/>
      <color indexed="10"/>
      <name val="Arial"/>
      <family val="2"/>
    </font>
    <font>
      <b/>
      <sz val="8"/>
      <name val="Tahoma"/>
      <family val="2"/>
    </font>
    <font>
      <sz val="8"/>
      <name val="Tahoma"/>
      <family val="2"/>
    </font>
    <font>
      <u val="single"/>
      <sz val="10"/>
      <color indexed="12"/>
      <name val="Arial"/>
      <family val="2"/>
    </font>
    <font>
      <u val="single"/>
      <sz val="10"/>
      <color indexed="36"/>
      <name val="Arial"/>
      <family val="2"/>
    </font>
    <font>
      <sz val="8"/>
      <name val="Arial"/>
      <family val="2"/>
    </font>
    <font>
      <b/>
      <sz val="10"/>
      <color indexed="10"/>
      <name val="Arial"/>
      <family val="2"/>
    </font>
    <font>
      <b/>
      <u val="single"/>
      <sz val="10"/>
      <color indexed="12"/>
      <name val="Arial"/>
      <family val="2"/>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53"/>
        <bgColor indexed="64"/>
      </patternFill>
    </fill>
    <fill>
      <patternFill patternType="solid">
        <fgColor indexed="5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color indexed="63"/>
      </left>
      <right style="medium"/>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medium"/>
      <right style="thin"/>
      <top style="thin"/>
      <bottom style="thin"/>
    </border>
    <border>
      <left style="medium"/>
      <right style="thin"/>
      <top style="medium"/>
      <bottom style="thin"/>
    </border>
    <border>
      <left style="thin"/>
      <right>
        <color indexed="63"/>
      </right>
      <top style="medium"/>
      <bottom style="medium"/>
    </border>
    <border>
      <left style="medium"/>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color indexed="63"/>
      </left>
      <right style="thin"/>
      <top style="medium"/>
      <bottom style="medium"/>
    </border>
    <border>
      <left>
        <color indexed="63"/>
      </left>
      <right style="thin"/>
      <top style="medium"/>
      <bottom style="thin"/>
    </border>
    <border>
      <left style="thin"/>
      <right style="medium"/>
      <top style="thin"/>
      <bottom>
        <color indexed="63"/>
      </bottom>
    </border>
    <border>
      <left style="medium"/>
      <right style="medium"/>
      <top style="medium"/>
      <bottom style="medium"/>
    </border>
    <border>
      <left style="thin"/>
      <right style="medium"/>
      <top>
        <color indexed="63"/>
      </top>
      <bottom style="thin"/>
    </border>
    <border>
      <left style="medium"/>
      <right>
        <color indexed="63"/>
      </right>
      <top style="medium"/>
      <bottom style="thin"/>
    </border>
    <border>
      <left>
        <color indexed="63"/>
      </left>
      <right>
        <color indexed="63"/>
      </right>
      <top style="thin"/>
      <bottom style="double"/>
    </border>
    <border>
      <left style="medium"/>
      <right>
        <color indexed="63"/>
      </right>
      <top style="thin"/>
      <bottom style="thin"/>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3">
    <xf numFmtId="0" fontId="0" fillId="0" borderId="0" xfId="0" applyAlignment="1">
      <alignment/>
    </xf>
    <xf numFmtId="181" fontId="3" fillId="0" borderId="10"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0" fillId="33" borderId="10" xfId="0" applyFill="1" applyBorder="1" applyAlignment="1" applyProtection="1">
      <alignment/>
      <protection locked="0"/>
    </xf>
    <xf numFmtId="180" fontId="3" fillId="33" borderId="0" xfId="42" applyNumberFormat="1" applyFont="1" applyFill="1" applyBorder="1" applyAlignment="1" applyProtection="1">
      <alignment/>
      <protection locked="0"/>
    </xf>
    <xf numFmtId="0" fontId="3" fillId="0" borderId="10" xfId="0" applyFont="1" applyFill="1" applyBorder="1" applyAlignment="1" applyProtection="1">
      <alignment/>
      <protection locked="0"/>
    </xf>
    <xf numFmtId="4" fontId="3" fillId="33" borderId="11" xfId="0" applyNumberFormat="1" applyFont="1" applyFill="1" applyBorder="1" applyAlignment="1" applyProtection="1">
      <alignment/>
      <protection locked="0"/>
    </xf>
    <xf numFmtId="2" fontId="3" fillId="33" borderId="11" xfId="0" applyNumberFormat="1" applyFont="1" applyFill="1" applyBorder="1" applyAlignment="1" applyProtection="1">
      <alignment/>
      <protection locked="0"/>
    </xf>
    <xf numFmtId="4" fontId="3" fillId="33" borderId="12" xfId="0" applyNumberFormat="1" applyFont="1" applyFill="1" applyBorder="1" applyAlignment="1" applyProtection="1">
      <alignment/>
      <protection locked="0"/>
    </xf>
    <xf numFmtId="4" fontId="3" fillId="0" borderId="10" xfId="0" applyNumberFormat="1" applyFont="1" applyFill="1" applyBorder="1" applyAlignment="1" applyProtection="1">
      <alignment/>
      <protection/>
    </xf>
    <xf numFmtId="0" fontId="3" fillId="0" borderId="10" xfId="0" applyFont="1" applyFill="1" applyBorder="1" applyAlignment="1" applyProtection="1">
      <alignment horizontal="right"/>
      <protection/>
    </xf>
    <xf numFmtId="0" fontId="0" fillId="0" borderId="0" xfId="0" applyNumberFormat="1"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horizontal="center"/>
      <protection/>
    </xf>
    <xf numFmtId="0" fontId="3" fillId="0" borderId="15" xfId="0" applyFont="1" applyBorder="1" applyAlignment="1" applyProtection="1">
      <alignment/>
      <protection/>
    </xf>
    <xf numFmtId="0" fontId="3" fillId="0" borderId="0" xfId="0" applyFont="1" applyBorder="1" applyAlignment="1" applyProtection="1">
      <alignment horizontal="left"/>
      <protection/>
    </xf>
    <xf numFmtId="4" fontId="3" fillId="0" borderId="0" xfId="0" applyNumberFormat="1" applyFont="1" applyFill="1" applyBorder="1" applyAlignment="1" applyProtection="1">
      <alignment/>
      <protection/>
    </xf>
    <xf numFmtId="2" fontId="3" fillId="0" borderId="0" xfId="0" applyNumberFormat="1" applyFont="1" applyBorder="1" applyAlignment="1" applyProtection="1">
      <alignment/>
      <protection/>
    </xf>
    <xf numFmtId="0" fontId="3" fillId="0" borderId="16" xfId="0" applyFont="1" applyBorder="1" applyAlignment="1" applyProtection="1">
      <alignment/>
      <protection/>
    </xf>
    <xf numFmtId="0" fontId="3" fillId="0" borderId="16" xfId="0" applyFont="1" applyBorder="1" applyAlignment="1" applyProtection="1">
      <alignment horizontal="left"/>
      <protection/>
    </xf>
    <xf numFmtId="4" fontId="3" fillId="0" borderId="16" xfId="0" applyNumberFormat="1" applyFont="1" applyFill="1" applyBorder="1" applyAlignment="1" applyProtection="1">
      <alignment/>
      <protection/>
    </xf>
    <xf numFmtId="4" fontId="3" fillId="0" borderId="0" xfId="0" applyNumberFormat="1" applyFont="1" applyBorder="1" applyAlignment="1" applyProtection="1">
      <alignment/>
      <protection/>
    </xf>
    <xf numFmtId="0" fontId="3" fillId="0" borderId="11" xfId="0" applyFont="1" applyBorder="1" applyAlignment="1" applyProtection="1">
      <alignment/>
      <protection/>
    </xf>
    <xf numFmtId="4" fontId="4" fillId="0" borderId="16" xfId="0" applyNumberFormat="1" applyFont="1" applyBorder="1" applyAlignment="1" applyProtection="1">
      <alignment/>
      <protection/>
    </xf>
    <xf numFmtId="180" fontId="3" fillId="0" borderId="11" xfId="0" applyNumberFormat="1" applyFont="1" applyBorder="1" applyAlignment="1" applyProtection="1">
      <alignment/>
      <protection/>
    </xf>
    <xf numFmtId="0" fontId="4" fillId="0" borderId="0" xfId="0" applyFont="1" applyBorder="1" applyAlignment="1" applyProtection="1">
      <alignment horizontal="left"/>
      <protection/>
    </xf>
    <xf numFmtId="0" fontId="3" fillId="0" borderId="15" xfId="0" applyFont="1" applyFill="1" applyBorder="1" applyAlignment="1" applyProtection="1">
      <alignment/>
      <protection/>
    </xf>
    <xf numFmtId="180" fontId="4" fillId="0" borderId="17" xfId="0" applyNumberFormat="1" applyFont="1" applyBorder="1" applyAlignment="1" applyProtection="1">
      <alignment horizontal="center"/>
      <protection/>
    </xf>
    <xf numFmtId="180" fontId="4" fillId="0" borderId="13" xfId="0" applyNumberFormat="1" applyFont="1" applyBorder="1" applyAlignment="1" applyProtection="1">
      <alignment horizontal="center"/>
      <protection/>
    </xf>
    <xf numFmtId="180" fontId="3" fillId="0" borderId="12" xfId="0" applyNumberFormat="1" applyFont="1" applyBorder="1" applyAlignment="1" applyProtection="1">
      <alignment/>
      <protection/>
    </xf>
    <xf numFmtId="171" fontId="3" fillId="0" borderId="0" xfId="0" applyNumberFormat="1" applyFont="1" applyBorder="1" applyAlignment="1" applyProtection="1">
      <alignment/>
      <protection/>
    </xf>
    <xf numFmtId="171" fontId="3" fillId="0" borderId="15" xfId="0" applyNumberFormat="1" applyFont="1" applyFill="1" applyBorder="1" applyAlignment="1" applyProtection="1">
      <alignment/>
      <protection/>
    </xf>
    <xf numFmtId="180" fontId="3" fillId="0" borderId="18" xfId="0" applyNumberFormat="1" applyFont="1" applyBorder="1" applyAlignment="1" applyProtection="1">
      <alignment/>
      <protection/>
    </xf>
    <xf numFmtId="0" fontId="0" fillId="0" borderId="19" xfId="0" applyBorder="1" applyAlignment="1" applyProtection="1">
      <alignment/>
      <protection/>
    </xf>
    <xf numFmtId="171" fontId="3" fillId="0" borderId="18" xfId="0" applyNumberFormat="1" applyFont="1" applyBorder="1" applyAlignment="1" applyProtection="1">
      <alignment/>
      <protection/>
    </xf>
    <xf numFmtId="0" fontId="3" fillId="0" borderId="16" xfId="0" applyFont="1" applyBorder="1" applyAlignment="1" applyProtection="1">
      <alignment wrapText="1"/>
      <protection/>
    </xf>
    <xf numFmtId="4" fontId="4" fillId="0" borderId="15" xfId="0" applyNumberFormat="1" applyFont="1" applyBorder="1" applyAlignment="1" applyProtection="1">
      <alignment/>
      <protection/>
    </xf>
    <xf numFmtId="0" fontId="4" fillId="0" borderId="0" xfId="0" applyFont="1" applyBorder="1" applyAlignment="1" applyProtection="1">
      <alignment/>
      <protection/>
    </xf>
    <xf numFmtId="0" fontId="4" fillId="0" borderId="18" xfId="0" applyFont="1" applyFill="1" applyBorder="1" applyAlignment="1" applyProtection="1">
      <alignment horizontal="center"/>
      <protection/>
    </xf>
    <xf numFmtId="0" fontId="3" fillId="0" borderId="20" xfId="0" applyFont="1" applyFill="1" applyBorder="1" applyAlignment="1" applyProtection="1">
      <alignment/>
      <protection/>
    </xf>
    <xf numFmtId="0" fontId="3" fillId="0" borderId="0" xfId="0" applyFont="1" applyAlignment="1" applyProtection="1">
      <alignment/>
      <protection/>
    </xf>
    <xf numFmtId="4" fontId="4" fillId="0" borderId="21" xfId="0" applyNumberFormat="1" applyFont="1" applyFill="1" applyBorder="1" applyAlignment="1" applyProtection="1">
      <alignment/>
      <protection/>
    </xf>
    <xf numFmtId="0" fontId="3" fillId="0" borderId="0" xfId="0" applyFont="1" applyFill="1" applyAlignment="1" applyProtection="1">
      <alignment/>
      <protection/>
    </xf>
    <xf numFmtId="0" fontId="4" fillId="0" borderId="0" xfId="0" applyFont="1" applyAlignment="1" applyProtection="1">
      <alignment/>
      <protection/>
    </xf>
    <xf numFmtId="0" fontId="0" fillId="0" borderId="10" xfId="0" applyBorder="1" applyAlignment="1" applyProtection="1">
      <alignment wrapText="1"/>
      <protection/>
    </xf>
    <xf numFmtId="15" fontId="0" fillId="0" borderId="10" xfId="0" applyNumberFormat="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0" xfId="0" applyNumberFormat="1" applyBorder="1" applyAlignment="1" applyProtection="1">
      <alignment/>
      <protection/>
    </xf>
    <xf numFmtId="0" fontId="0" fillId="0" borderId="10" xfId="0" applyNumberFormat="1" applyFill="1" applyBorder="1" applyAlignment="1" applyProtection="1">
      <alignment/>
      <protection/>
    </xf>
    <xf numFmtId="0" fontId="0" fillId="0" borderId="10" xfId="0" applyFill="1" applyBorder="1" applyAlignment="1" applyProtection="1">
      <alignment wrapText="1"/>
      <protection/>
    </xf>
    <xf numFmtId="0" fontId="0" fillId="0" borderId="10" xfId="0" applyBorder="1" applyAlignment="1" applyProtection="1">
      <alignment/>
      <protection/>
    </xf>
    <xf numFmtId="0" fontId="1" fillId="0" borderId="22" xfId="0" applyFont="1" applyBorder="1" applyAlignment="1" applyProtection="1">
      <alignment/>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protection/>
    </xf>
    <xf numFmtId="1" fontId="0" fillId="0" borderId="10" xfId="0" applyNumberFormat="1" applyBorder="1" applyAlignment="1" applyProtection="1">
      <alignment/>
      <protection/>
    </xf>
    <xf numFmtId="0" fontId="3" fillId="0" borderId="10" xfId="0" applyFont="1" applyFill="1" applyBorder="1" applyAlignment="1" applyProtection="1">
      <alignment/>
      <protection/>
    </xf>
    <xf numFmtId="180" fontId="3" fillId="0" borderId="10" xfId="0" applyNumberFormat="1" applyFont="1" applyFill="1" applyBorder="1" applyAlignment="1" applyProtection="1">
      <alignment/>
      <protection/>
    </xf>
    <xf numFmtId="2" fontId="0" fillId="0" borderId="10" xfId="0" applyNumberFormat="1" applyFill="1" applyBorder="1" applyAlignment="1" applyProtection="1">
      <alignment/>
      <protection/>
    </xf>
    <xf numFmtId="15" fontId="3" fillId="0" borderId="10" xfId="0" applyNumberFormat="1" applyFont="1" applyFill="1" applyBorder="1" applyAlignment="1" applyProtection="1" quotePrefix="1">
      <alignment horizontal="right"/>
      <protection/>
    </xf>
    <xf numFmtId="0" fontId="1" fillId="0" borderId="0" xfId="0" applyFont="1" applyFill="1" applyBorder="1" applyAlignment="1" applyProtection="1">
      <alignment/>
      <protection/>
    </xf>
    <xf numFmtId="180" fontId="3" fillId="33" borderId="16" xfId="42" applyNumberFormat="1" applyFont="1" applyFill="1" applyBorder="1" applyAlignment="1" applyProtection="1">
      <alignment/>
      <protection locked="0"/>
    </xf>
    <xf numFmtId="0" fontId="4" fillId="0" borderId="23" xfId="0" applyFont="1" applyBorder="1" applyAlignment="1" applyProtection="1">
      <alignment/>
      <protection/>
    </xf>
    <xf numFmtId="0" fontId="3" fillId="0" borderId="24" xfId="0" applyFont="1" applyBorder="1" applyAlignment="1" applyProtection="1">
      <alignment/>
      <protection/>
    </xf>
    <xf numFmtId="0" fontId="3" fillId="0" borderId="25" xfId="0" applyFont="1" applyBorder="1" applyAlignment="1" applyProtection="1">
      <alignment/>
      <protection/>
    </xf>
    <xf numFmtId="4" fontId="3" fillId="0" borderId="26" xfId="0" applyNumberFormat="1" applyFont="1" applyBorder="1" applyAlignment="1" applyProtection="1">
      <alignment/>
      <protection/>
    </xf>
    <xf numFmtId="0" fontId="3" fillId="0" borderId="27" xfId="0" applyFont="1" applyBorder="1" applyAlignment="1" applyProtection="1">
      <alignment/>
      <protection/>
    </xf>
    <xf numFmtId="180" fontId="3" fillId="0" borderId="28" xfId="0" applyNumberFormat="1" applyFont="1" applyBorder="1" applyAlignment="1" applyProtection="1">
      <alignment/>
      <protection/>
    </xf>
    <xf numFmtId="0" fontId="3" fillId="0" borderId="29" xfId="0" applyFont="1" applyBorder="1" applyAlignment="1" applyProtection="1">
      <alignment/>
      <protection/>
    </xf>
    <xf numFmtId="4" fontId="3" fillId="0" borderId="30" xfId="0" applyNumberFormat="1" applyFont="1" applyBorder="1" applyAlignment="1" applyProtection="1">
      <alignment horizontal="left"/>
      <protection/>
    </xf>
    <xf numFmtId="0" fontId="3" fillId="0" borderId="30" xfId="0" applyFont="1" applyBorder="1" applyAlignment="1" applyProtection="1">
      <alignment horizontal="left"/>
      <protection/>
    </xf>
    <xf numFmtId="0" fontId="5" fillId="0" borderId="30" xfId="0" applyFont="1" applyBorder="1" applyAlignment="1" applyProtection="1">
      <alignment horizontal="left"/>
      <protection/>
    </xf>
    <xf numFmtId="2" fontId="4" fillId="33" borderId="30" xfId="0" applyNumberFormat="1" applyFont="1" applyFill="1" applyBorder="1" applyAlignment="1" applyProtection="1">
      <alignment horizontal="right"/>
      <protection locked="0"/>
    </xf>
    <xf numFmtId="4" fontId="4" fillId="0" borderId="31" xfId="0" applyNumberFormat="1" applyFont="1" applyBorder="1" applyAlignment="1" applyProtection="1">
      <alignment/>
      <protection/>
    </xf>
    <xf numFmtId="4" fontId="4" fillId="0" borderId="32" xfId="0" applyNumberFormat="1" applyFont="1" applyBorder="1" applyAlignment="1" applyProtection="1">
      <alignment/>
      <protection/>
    </xf>
    <xf numFmtId="0" fontId="4" fillId="0" borderId="24" xfId="0" applyFont="1" applyBorder="1" applyAlignment="1" applyProtection="1">
      <alignment horizontal="center"/>
      <protection/>
    </xf>
    <xf numFmtId="0" fontId="4" fillId="0" borderId="24" xfId="0" applyFont="1" applyBorder="1" applyAlignment="1" applyProtection="1">
      <alignment horizontal="center" wrapText="1"/>
      <protection/>
    </xf>
    <xf numFmtId="0" fontId="3" fillId="0" borderId="25" xfId="0" applyFont="1" applyFill="1" applyBorder="1" applyAlignment="1" applyProtection="1">
      <alignment/>
      <protection/>
    </xf>
    <xf numFmtId="0" fontId="3" fillId="0" borderId="26" xfId="0" applyFont="1" applyFill="1" applyBorder="1" applyAlignment="1" applyProtection="1">
      <alignment/>
      <protection/>
    </xf>
    <xf numFmtId="0" fontId="3" fillId="0" borderId="28" xfId="0" applyFont="1" applyFill="1" applyBorder="1" applyAlignment="1" applyProtection="1">
      <alignment/>
      <protection/>
    </xf>
    <xf numFmtId="2" fontId="3" fillId="0" borderId="28" xfId="0" applyNumberFormat="1" applyFont="1" applyFill="1" applyBorder="1" applyAlignment="1" applyProtection="1">
      <alignment/>
      <protection/>
    </xf>
    <xf numFmtId="0" fontId="0" fillId="0" borderId="28" xfId="0" applyBorder="1" applyAlignment="1" applyProtection="1">
      <alignment/>
      <protection/>
    </xf>
    <xf numFmtId="180" fontId="3" fillId="0" borderId="28" xfId="0" applyNumberFormat="1" applyFont="1" applyFill="1" applyBorder="1" applyAlignment="1" applyProtection="1">
      <alignment/>
      <protection/>
    </xf>
    <xf numFmtId="180" fontId="4" fillId="0" borderId="30" xfId="42" applyNumberFormat="1" applyFont="1" applyBorder="1" applyAlignment="1" applyProtection="1">
      <alignment/>
      <protection/>
    </xf>
    <xf numFmtId="0" fontId="4" fillId="0" borderId="33" xfId="0" applyFont="1" applyBorder="1" applyAlignment="1" applyProtection="1">
      <alignment horizontal="right"/>
      <protection/>
    </xf>
    <xf numFmtId="171" fontId="4" fillId="0" borderId="30" xfId="0" applyNumberFormat="1" applyFont="1" applyBorder="1" applyAlignment="1" applyProtection="1">
      <alignment/>
      <protection/>
    </xf>
    <xf numFmtId="43" fontId="4" fillId="0" borderId="30" xfId="0" applyNumberFormat="1" applyFont="1" applyBorder="1" applyAlignment="1" applyProtection="1">
      <alignment/>
      <protection/>
    </xf>
    <xf numFmtId="171" fontId="4" fillId="0" borderId="31" xfId="0" applyNumberFormat="1" applyFont="1" applyFill="1" applyBorder="1" applyAlignment="1" applyProtection="1">
      <alignment/>
      <protection/>
    </xf>
    <xf numFmtId="180" fontId="4" fillId="0" borderId="32" xfId="0" applyNumberFormat="1" applyFont="1" applyFill="1" applyBorder="1" applyAlignment="1" applyProtection="1">
      <alignment/>
      <protection/>
    </xf>
    <xf numFmtId="0" fontId="4" fillId="0" borderId="24" xfId="0" applyFont="1" applyFill="1" applyBorder="1" applyAlignment="1" applyProtection="1">
      <alignment horizontal="center" wrapText="1"/>
      <protection/>
    </xf>
    <xf numFmtId="0" fontId="4" fillId="0" borderId="26" xfId="0" applyFont="1" applyFill="1" applyBorder="1" applyAlignment="1" applyProtection="1">
      <alignment horizontal="center" wrapText="1"/>
      <protection/>
    </xf>
    <xf numFmtId="0" fontId="3" fillId="0" borderId="28" xfId="0" applyFont="1" applyBorder="1" applyAlignment="1" applyProtection="1">
      <alignment/>
      <protection/>
    </xf>
    <xf numFmtId="0" fontId="4" fillId="0" borderId="30" xfId="0" applyFont="1" applyBorder="1" applyAlignment="1" applyProtection="1">
      <alignment/>
      <protection/>
    </xf>
    <xf numFmtId="0" fontId="4" fillId="0" borderId="33" xfId="0" applyFont="1" applyBorder="1" applyAlignment="1" applyProtection="1">
      <alignment/>
      <protection/>
    </xf>
    <xf numFmtId="4" fontId="4" fillId="0" borderId="34" xfId="0" applyNumberFormat="1" applyFont="1" applyBorder="1" applyAlignment="1" applyProtection="1">
      <alignment/>
      <protection/>
    </xf>
    <xf numFmtId="4" fontId="4" fillId="0" borderId="30" xfId="0" applyNumberFormat="1" applyFont="1" applyBorder="1" applyAlignment="1" applyProtection="1">
      <alignment/>
      <protection/>
    </xf>
    <xf numFmtId="0" fontId="3" fillId="0" borderId="27" xfId="0" applyFont="1" applyFill="1" applyBorder="1" applyAlignment="1" applyProtection="1">
      <alignment/>
      <protection/>
    </xf>
    <xf numFmtId="0" fontId="3" fillId="0" borderId="29" xfId="0" applyFont="1" applyFill="1" applyBorder="1" applyAlignment="1" applyProtection="1">
      <alignment/>
      <protection/>
    </xf>
    <xf numFmtId="0" fontId="3" fillId="0" borderId="30" xfId="0" applyFont="1" applyFill="1" applyBorder="1" applyAlignment="1" applyProtection="1">
      <alignment/>
      <protection/>
    </xf>
    <xf numFmtId="180" fontId="3" fillId="0" borderId="30" xfId="0" applyNumberFormat="1" applyFont="1" applyFill="1" applyBorder="1" applyAlignment="1" applyProtection="1">
      <alignment/>
      <protection/>
    </xf>
    <xf numFmtId="0" fontId="3" fillId="0" borderId="31" xfId="0" applyFont="1" applyFill="1" applyBorder="1" applyAlignment="1" applyProtection="1">
      <alignment/>
      <protection/>
    </xf>
    <xf numFmtId="0" fontId="3" fillId="0" borderId="10" xfId="0" applyFont="1" applyBorder="1" applyAlignment="1" applyProtection="1">
      <alignment/>
      <protection/>
    </xf>
    <xf numFmtId="0" fontId="3" fillId="0" borderId="23" xfId="0" applyFont="1" applyBorder="1" applyAlignment="1" applyProtection="1">
      <alignment/>
      <protection/>
    </xf>
    <xf numFmtId="0" fontId="4" fillId="0" borderId="10" xfId="0" applyFont="1" applyFill="1" applyBorder="1" applyAlignment="1" applyProtection="1">
      <alignment horizontal="center" wrapText="1"/>
      <protection/>
    </xf>
    <xf numFmtId="0" fontId="4" fillId="0" borderId="10" xfId="0" applyFont="1" applyBorder="1" applyAlignment="1" applyProtection="1">
      <alignment horizontal="center" wrapText="1"/>
      <protection/>
    </xf>
    <xf numFmtId="9" fontId="4" fillId="0" borderId="35" xfId="0" applyNumberFormat="1" applyFont="1" applyFill="1" applyBorder="1" applyAlignment="1" applyProtection="1">
      <alignment/>
      <protection/>
    </xf>
    <xf numFmtId="9" fontId="3" fillId="33" borderId="10" xfId="0" applyNumberFormat="1" applyFont="1" applyFill="1" applyBorder="1" applyAlignment="1" applyProtection="1">
      <alignment/>
      <protection locked="0"/>
    </xf>
    <xf numFmtId="4" fontId="3" fillId="0" borderId="10" xfId="0" applyNumberFormat="1" applyFont="1" applyBorder="1" applyAlignment="1" applyProtection="1">
      <alignment/>
      <protection/>
    </xf>
    <xf numFmtId="0" fontId="3" fillId="0" borderId="0" xfId="0" applyFont="1" applyFill="1" applyBorder="1" applyAlignment="1" applyProtection="1">
      <alignment horizontal="center" wrapText="1"/>
      <protection/>
    </xf>
    <xf numFmtId="0" fontId="0" fillId="0" borderId="36" xfId="0" applyBorder="1" applyAlignment="1" applyProtection="1">
      <alignment/>
      <protection/>
    </xf>
    <xf numFmtId="0" fontId="4" fillId="0" borderId="37" xfId="0" applyFont="1" applyFill="1" applyBorder="1" applyAlignment="1" applyProtection="1">
      <alignment horizontal="center" wrapText="1"/>
      <protection/>
    </xf>
    <xf numFmtId="4" fontId="3" fillId="0" borderId="37" xfId="0" applyNumberFormat="1" applyFont="1" applyFill="1" applyBorder="1" applyAlignment="1" applyProtection="1">
      <alignment/>
      <protection/>
    </xf>
    <xf numFmtId="4" fontId="4" fillId="0" borderId="35" xfId="0" applyNumberFormat="1" applyFont="1" applyBorder="1" applyAlignment="1" applyProtection="1">
      <alignment/>
      <protection/>
    </xf>
    <xf numFmtId="14" fontId="0" fillId="0" borderId="0" xfId="0" applyNumberFormat="1" applyFill="1" applyBorder="1" applyAlignment="1" applyProtection="1">
      <alignment/>
      <protection/>
    </xf>
    <xf numFmtId="4" fontId="0" fillId="0" borderId="0" xfId="0" applyNumberFormat="1" applyFill="1" applyAlignment="1" applyProtection="1">
      <alignment/>
      <protection/>
    </xf>
    <xf numFmtId="2" fontId="0" fillId="0" borderId="0" xfId="0" applyNumberFormat="1" applyFill="1" applyAlignment="1" applyProtection="1">
      <alignment/>
      <protection/>
    </xf>
    <xf numFmtId="0" fontId="0" fillId="0" borderId="38" xfId="0" applyNumberFormat="1" applyFill="1" applyBorder="1" applyAlignment="1" applyProtection="1">
      <alignment/>
      <protection/>
    </xf>
    <xf numFmtId="0" fontId="0" fillId="0" borderId="39" xfId="0" applyNumberFormat="1" applyFill="1" applyBorder="1" applyAlignment="1" applyProtection="1">
      <alignment/>
      <protection/>
    </xf>
    <xf numFmtId="0" fontId="0" fillId="0" borderId="37" xfId="0" applyNumberFormat="1" applyFill="1" applyBorder="1" applyAlignment="1" applyProtection="1">
      <alignment/>
      <protection/>
    </xf>
    <xf numFmtId="1" fontId="0" fillId="0" borderId="10" xfId="0" applyNumberFormat="1" applyFill="1" applyBorder="1" applyAlignment="1" applyProtection="1">
      <alignment wrapText="1"/>
      <protection/>
    </xf>
    <xf numFmtId="0" fontId="3" fillId="0" borderId="37" xfId="0" applyNumberFormat="1" applyFont="1" applyFill="1" applyBorder="1" applyAlignment="1" applyProtection="1" quotePrefix="1">
      <alignment horizontal="right"/>
      <protection/>
    </xf>
    <xf numFmtId="0" fontId="3" fillId="0" borderId="37" xfId="0" applyNumberFormat="1" applyFont="1" applyFill="1" applyBorder="1" applyAlignment="1" applyProtection="1" quotePrefix="1">
      <alignment horizontal="left"/>
      <protection/>
    </xf>
    <xf numFmtId="0" fontId="1" fillId="0" borderId="35" xfId="0" applyNumberFormat="1" applyFont="1" applyFill="1" applyBorder="1" applyAlignment="1" applyProtection="1">
      <alignment/>
      <protection/>
    </xf>
    <xf numFmtId="0" fontId="0" fillId="0" borderId="40" xfId="0" applyNumberFormat="1" applyFill="1" applyBorder="1" applyAlignment="1" applyProtection="1">
      <alignment/>
      <protection/>
    </xf>
    <xf numFmtId="0" fontId="1" fillId="0" borderId="41" xfId="0" applyNumberFormat="1" applyFont="1" applyFill="1" applyBorder="1" applyAlignment="1" applyProtection="1">
      <alignment/>
      <protection/>
    </xf>
    <xf numFmtId="0" fontId="0" fillId="0" borderId="42" xfId="0" applyNumberFormat="1" applyFill="1" applyBorder="1" applyAlignment="1" applyProtection="1">
      <alignment/>
      <protection/>
    </xf>
    <xf numFmtId="0" fontId="1" fillId="0" borderId="15" xfId="0" applyNumberFormat="1" applyFont="1" applyFill="1" applyBorder="1" applyAlignment="1" applyProtection="1">
      <alignment/>
      <protection/>
    </xf>
    <xf numFmtId="0" fontId="1" fillId="0" borderId="28" xfId="0" applyNumberFormat="1" applyFont="1" applyFill="1" applyBorder="1" applyAlignment="1" applyProtection="1">
      <alignment/>
      <protection/>
    </xf>
    <xf numFmtId="0" fontId="1" fillId="0" borderId="42" xfId="0" applyNumberFormat="1" applyFont="1" applyFill="1" applyBorder="1" applyAlignment="1" applyProtection="1">
      <alignment/>
      <protection/>
    </xf>
    <xf numFmtId="0" fontId="1" fillId="0" borderId="31" xfId="0" applyNumberFormat="1" applyFont="1" applyFill="1" applyBorder="1" applyAlignment="1" applyProtection="1">
      <alignment/>
      <protection/>
    </xf>
    <xf numFmtId="0" fontId="1" fillId="0" borderId="32" xfId="0" applyNumberFormat="1" applyFont="1" applyFill="1" applyBorder="1" applyAlignment="1" applyProtection="1">
      <alignment/>
      <protection/>
    </xf>
    <xf numFmtId="0" fontId="1" fillId="0" borderId="22" xfId="0" applyNumberFormat="1" applyFont="1" applyFill="1" applyBorder="1" applyAlignment="1" applyProtection="1">
      <alignment/>
      <protection/>
    </xf>
    <xf numFmtId="0" fontId="1" fillId="0" borderId="43"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0" fontId="1" fillId="0" borderId="37" xfId="0" applyNumberFormat="1" applyFont="1" applyFill="1" applyBorder="1" applyAlignment="1" applyProtection="1">
      <alignment/>
      <protection/>
    </xf>
    <xf numFmtId="1" fontId="0" fillId="0" borderId="10" xfId="0" applyNumberFormat="1" applyFill="1" applyBorder="1" applyAlignment="1" applyProtection="1">
      <alignment/>
      <protection/>
    </xf>
    <xf numFmtId="0" fontId="1"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183" fontId="4" fillId="0" borderId="30" xfId="0" applyNumberFormat="1" applyFont="1" applyFill="1" applyBorder="1" applyAlignment="1" applyProtection="1">
      <alignment/>
      <protection/>
    </xf>
    <xf numFmtId="0" fontId="1" fillId="0" borderId="0" xfId="0" applyNumberFormat="1" applyFont="1" applyFill="1" applyAlignment="1" applyProtection="1">
      <alignment/>
      <protection/>
    </xf>
    <xf numFmtId="0" fontId="1" fillId="0" borderId="0" xfId="0" applyFont="1" applyBorder="1" applyAlignment="1" applyProtection="1">
      <alignment horizontal="right"/>
      <protection/>
    </xf>
    <xf numFmtId="180" fontId="4" fillId="0" borderId="15" xfId="0" applyNumberFormat="1" applyFont="1" applyBorder="1" applyAlignment="1" applyProtection="1">
      <alignment/>
      <protection/>
    </xf>
    <xf numFmtId="0" fontId="5" fillId="0" borderId="0" xfId="0" applyFont="1" applyBorder="1" applyAlignment="1" applyProtection="1">
      <alignment/>
      <protection/>
    </xf>
    <xf numFmtId="0" fontId="4" fillId="0" borderId="27" xfId="0" applyFont="1" applyBorder="1" applyAlignment="1" applyProtection="1">
      <alignment/>
      <protection/>
    </xf>
    <xf numFmtId="0" fontId="3" fillId="33" borderId="20" xfId="0" applyFont="1" applyFill="1" applyBorder="1" applyAlignment="1" applyProtection="1">
      <alignment horizontal="right"/>
      <protection locked="0"/>
    </xf>
    <xf numFmtId="1" fontId="1" fillId="34" borderId="41" xfId="0" applyNumberFormat="1" applyFont="1" applyFill="1" applyBorder="1" applyAlignment="1" applyProtection="1">
      <alignment/>
      <protection/>
    </xf>
    <xf numFmtId="0" fontId="1" fillId="34" borderId="41" xfId="0" applyNumberFormat="1" applyFont="1" applyFill="1" applyBorder="1" applyAlignment="1" applyProtection="1">
      <alignment/>
      <protection/>
    </xf>
    <xf numFmtId="0" fontId="0" fillId="34" borderId="42" xfId="0" applyNumberFormat="1" applyFill="1" applyBorder="1" applyAlignment="1" applyProtection="1">
      <alignment/>
      <protection/>
    </xf>
    <xf numFmtId="0" fontId="0" fillId="0" borderId="44" xfId="0" applyBorder="1" applyAlignment="1">
      <alignment horizontal="left"/>
    </xf>
    <xf numFmtId="0" fontId="3" fillId="0" borderId="14" xfId="0" applyFont="1" applyFill="1" applyBorder="1" applyAlignment="1" applyProtection="1">
      <alignment/>
      <protection/>
    </xf>
    <xf numFmtId="0" fontId="0" fillId="0" borderId="26" xfId="0" applyBorder="1" applyAlignment="1">
      <alignment horizontal="left"/>
    </xf>
    <xf numFmtId="4" fontId="4" fillId="0" borderId="28" xfId="0" applyNumberFormat="1" applyFont="1" applyBorder="1" applyAlignment="1" applyProtection="1">
      <alignment/>
      <protection/>
    </xf>
    <xf numFmtId="0" fontId="0" fillId="0" borderId="25" xfId="0" applyBorder="1" applyAlignment="1">
      <alignment horizontal="left"/>
    </xf>
    <xf numFmtId="1" fontId="3" fillId="33" borderId="10" xfId="0" applyNumberFormat="1" applyFont="1" applyFill="1" applyBorder="1" applyAlignment="1" applyProtection="1">
      <alignment horizontal="right"/>
      <protection locked="0"/>
    </xf>
    <xf numFmtId="43" fontId="0" fillId="0" borderId="0" xfId="0" applyNumberFormat="1" applyAlignment="1" applyProtection="1">
      <alignment/>
      <protection/>
    </xf>
    <xf numFmtId="0" fontId="4" fillId="0" borderId="16" xfId="0" applyFont="1" applyFill="1" applyBorder="1" applyAlignment="1" applyProtection="1">
      <alignment horizontal="center"/>
      <protection/>
    </xf>
    <xf numFmtId="15" fontId="3" fillId="0" borderId="10" xfId="0" applyNumberFormat="1" applyFont="1" applyFill="1" applyBorder="1" applyAlignment="1" applyProtection="1" quotePrefix="1">
      <alignment horizontal="left"/>
      <protection/>
    </xf>
    <xf numFmtId="4" fontId="3" fillId="0" borderId="45" xfId="0" applyNumberFormat="1" applyFont="1" applyFill="1" applyBorder="1" applyAlignment="1" applyProtection="1">
      <alignment/>
      <protection/>
    </xf>
    <xf numFmtId="4" fontId="3" fillId="33" borderId="20" xfId="0" applyNumberFormat="1" applyFont="1" applyFill="1" applyBorder="1" applyAlignment="1" applyProtection="1">
      <alignment/>
      <protection locked="0"/>
    </xf>
    <xf numFmtId="4" fontId="3" fillId="0" borderId="20" xfId="0" applyNumberFormat="1" applyFont="1" applyFill="1" applyBorder="1" applyAlignment="1" applyProtection="1">
      <alignment/>
      <protection/>
    </xf>
    <xf numFmtId="0" fontId="3" fillId="0" borderId="11" xfId="0" applyFont="1" applyFill="1" applyBorder="1" applyAlignment="1" applyProtection="1">
      <alignment/>
      <protection/>
    </xf>
    <xf numFmtId="4" fontId="3" fillId="0" borderId="10" xfId="0" applyNumberFormat="1" applyFont="1" applyFill="1" applyBorder="1" applyAlignment="1" applyProtection="1">
      <alignment/>
      <protection/>
    </xf>
    <xf numFmtId="171" fontId="3" fillId="0" borderId="16" xfId="42" applyFont="1" applyFill="1" applyBorder="1" applyAlignment="1" applyProtection="1">
      <alignment/>
      <protection/>
    </xf>
    <xf numFmtId="0" fontId="0" fillId="0" borderId="24" xfId="0" applyBorder="1" applyAlignment="1">
      <alignment horizontal="left"/>
    </xf>
    <xf numFmtId="0" fontId="3" fillId="0" borderId="45" xfId="0" applyFont="1" applyFill="1" applyBorder="1" applyAlignment="1" applyProtection="1">
      <alignment/>
      <protection/>
    </xf>
    <xf numFmtId="0" fontId="3" fillId="0" borderId="46" xfId="0" applyFont="1" applyFill="1" applyBorder="1" applyAlignment="1" applyProtection="1">
      <alignment/>
      <protection/>
    </xf>
    <xf numFmtId="0" fontId="3" fillId="0" borderId="47" xfId="0" applyFont="1" applyFill="1" applyBorder="1" applyAlignment="1" applyProtection="1">
      <alignment/>
      <protection/>
    </xf>
    <xf numFmtId="0" fontId="4" fillId="0" borderId="30" xfId="0" applyFont="1" applyFill="1" applyBorder="1" applyAlignment="1" applyProtection="1">
      <alignment horizontal="right"/>
      <protection/>
    </xf>
    <xf numFmtId="4" fontId="4" fillId="0" borderId="40" xfId="0" applyNumberFormat="1" applyFont="1" applyFill="1" applyBorder="1" applyAlignment="1" applyProtection="1">
      <alignment/>
      <protection/>
    </xf>
    <xf numFmtId="9" fontId="3" fillId="33" borderId="48" xfId="0" applyNumberFormat="1" applyFont="1" applyFill="1" applyBorder="1" applyAlignment="1" applyProtection="1">
      <alignment/>
      <protection locked="0"/>
    </xf>
    <xf numFmtId="0" fontId="3" fillId="0" borderId="20" xfId="0" applyFont="1" applyBorder="1" applyAlignment="1" applyProtection="1">
      <alignment/>
      <protection/>
    </xf>
    <xf numFmtId="0" fontId="3" fillId="0" borderId="48" xfId="0" applyFont="1" applyBorder="1" applyAlignment="1" applyProtection="1">
      <alignment/>
      <protection/>
    </xf>
    <xf numFmtId="15" fontId="3" fillId="0" borderId="10" xfId="0" applyNumberFormat="1" applyFont="1" applyFill="1" applyBorder="1" applyAlignment="1" applyProtection="1">
      <alignment/>
      <protection/>
    </xf>
    <xf numFmtId="0" fontId="1" fillId="0" borderId="0" xfId="0" applyFont="1" applyAlignment="1">
      <alignment/>
    </xf>
    <xf numFmtId="0" fontId="0" fillId="0" borderId="10" xfId="0" applyBorder="1" applyAlignment="1">
      <alignment/>
    </xf>
    <xf numFmtId="180" fontId="5" fillId="0" borderId="28" xfId="0" applyNumberFormat="1" applyFont="1" applyBorder="1" applyAlignment="1" applyProtection="1">
      <alignment/>
      <protection/>
    </xf>
    <xf numFmtId="180" fontId="0" fillId="0" borderId="0" xfId="0" applyNumberFormat="1" applyFill="1" applyAlignment="1" applyProtection="1">
      <alignment/>
      <protection/>
    </xf>
    <xf numFmtId="4" fontId="5" fillId="0" borderId="40" xfId="0" applyNumberFormat="1" applyFont="1" applyBorder="1" applyAlignment="1" applyProtection="1">
      <alignment/>
      <protection/>
    </xf>
    <xf numFmtId="2" fontId="0" fillId="33" borderId="10" xfId="0" applyNumberFormat="1" applyFill="1" applyBorder="1" applyAlignment="1" applyProtection="1">
      <alignment/>
      <protection locked="0"/>
    </xf>
    <xf numFmtId="0" fontId="4" fillId="0" borderId="16" xfId="0" applyFont="1" applyFill="1" applyBorder="1" applyAlignment="1" applyProtection="1">
      <alignment horizontal="center" wrapText="1"/>
      <protection/>
    </xf>
    <xf numFmtId="0" fontId="1" fillId="0" borderId="0" xfId="0" applyFont="1" applyFill="1" applyBorder="1" applyAlignment="1" applyProtection="1">
      <alignment horizontal="center" wrapText="1"/>
      <protection locked="0"/>
    </xf>
    <xf numFmtId="0" fontId="0" fillId="0" borderId="0" xfId="0" applyNumberFormat="1" applyFill="1" applyAlignment="1" applyProtection="1">
      <alignment horizontal="right"/>
      <protection/>
    </xf>
    <xf numFmtId="15" fontId="0" fillId="0" borderId="0" xfId="0" applyNumberFormat="1" applyFill="1" applyBorder="1" applyAlignment="1" applyProtection="1">
      <alignment/>
      <protection/>
    </xf>
    <xf numFmtId="0" fontId="0" fillId="0" borderId="0" xfId="0" applyFill="1" applyBorder="1" applyAlignment="1" applyProtection="1">
      <alignment horizontal="center"/>
      <protection/>
    </xf>
    <xf numFmtId="0" fontId="3" fillId="0" borderId="0" xfId="0" applyNumberFormat="1" applyFont="1" applyFill="1" applyBorder="1" applyAlignment="1" applyProtection="1" quotePrefix="1">
      <alignment horizontal="right"/>
      <protection/>
    </xf>
    <xf numFmtId="1" fontId="0" fillId="0" borderId="0" xfId="0" applyNumberFormat="1" applyFill="1" applyBorder="1" applyAlignment="1" applyProtection="1">
      <alignment wrapText="1"/>
      <protection/>
    </xf>
    <xf numFmtId="0" fontId="3" fillId="0" borderId="0" xfId="0" applyNumberFormat="1" applyFont="1" applyFill="1" applyBorder="1" applyAlignment="1" applyProtection="1" quotePrefix="1">
      <alignment horizontal="left"/>
      <protection/>
    </xf>
    <xf numFmtId="2"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184" fontId="0" fillId="0" borderId="10" xfId="0" applyNumberFormat="1" applyBorder="1" applyAlignment="1">
      <alignment horizontal="right"/>
    </xf>
    <xf numFmtId="0" fontId="0" fillId="33" borderId="10" xfId="0" applyFill="1" applyBorder="1" applyAlignment="1" applyProtection="1">
      <alignment horizontal="right"/>
      <protection locked="0"/>
    </xf>
    <xf numFmtId="0" fontId="4" fillId="33" borderId="10" xfId="0" applyFont="1" applyFill="1" applyBorder="1" applyAlignment="1" applyProtection="1">
      <alignment/>
      <protection locked="0"/>
    </xf>
    <xf numFmtId="0" fontId="4" fillId="0" borderId="0" xfId="0" applyFont="1" applyFill="1" applyAlignment="1" applyProtection="1">
      <alignment/>
      <protection/>
    </xf>
    <xf numFmtId="0" fontId="1" fillId="0" borderId="0" xfId="0" applyFont="1" applyAlignment="1" applyProtection="1">
      <alignment/>
      <protection/>
    </xf>
    <xf numFmtId="0" fontId="8" fillId="0" borderId="10" xfId="53" applyFill="1" applyBorder="1" applyAlignment="1" applyProtection="1">
      <alignment/>
      <protection/>
    </xf>
    <xf numFmtId="0" fontId="8" fillId="0" borderId="20" xfId="53" applyFill="1" applyBorder="1" applyAlignment="1" applyProtection="1">
      <alignment/>
      <protection/>
    </xf>
    <xf numFmtId="0" fontId="8" fillId="0" borderId="0" xfId="53" applyBorder="1" applyAlignment="1" applyProtection="1">
      <alignment/>
      <protection/>
    </xf>
    <xf numFmtId="0" fontId="1" fillId="0" borderId="10" xfId="0" applyFont="1" applyBorder="1" applyAlignment="1">
      <alignment horizontal="right"/>
    </xf>
    <xf numFmtId="0" fontId="3" fillId="0" borderId="22" xfId="0" applyFont="1" applyBorder="1" applyAlignment="1" applyProtection="1">
      <alignment/>
      <protection/>
    </xf>
    <xf numFmtId="0" fontId="4" fillId="0" borderId="49" xfId="0" applyFont="1" applyBorder="1" applyAlignment="1" applyProtection="1">
      <alignment/>
      <protection/>
    </xf>
    <xf numFmtId="0" fontId="1" fillId="35" borderId="23" xfId="0" applyFont="1" applyFill="1" applyBorder="1" applyAlignment="1">
      <alignment/>
    </xf>
    <xf numFmtId="0" fontId="0" fillId="35" borderId="24" xfId="0" applyFill="1" applyBorder="1" applyAlignment="1">
      <alignment/>
    </xf>
    <xf numFmtId="0" fontId="0" fillId="35" borderId="27" xfId="0" applyFill="1" applyBorder="1" applyAlignment="1">
      <alignment/>
    </xf>
    <xf numFmtId="0" fontId="0" fillId="35" borderId="0" xfId="0" applyFill="1" applyBorder="1" applyAlignment="1">
      <alignment/>
    </xf>
    <xf numFmtId="0" fontId="0" fillId="0" borderId="39" xfId="0" applyBorder="1" applyAlignment="1">
      <alignment/>
    </xf>
    <xf numFmtId="0" fontId="0" fillId="0" borderId="50" xfId="0" applyNumberFormat="1" applyBorder="1" applyAlignment="1">
      <alignment/>
    </xf>
    <xf numFmtId="0" fontId="0" fillId="0" borderId="37" xfId="0" applyBorder="1" applyAlignment="1">
      <alignment/>
    </xf>
    <xf numFmtId="0" fontId="0" fillId="0" borderId="40" xfId="0" applyBorder="1" applyAlignment="1">
      <alignment/>
    </xf>
    <xf numFmtId="0" fontId="1" fillId="0" borderId="51" xfId="0" applyFont="1" applyBorder="1" applyAlignment="1">
      <alignment/>
    </xf>
    <xf numFmtId="0" fontId="4" fillId="0" borderId="0" xfId="0" applyFont="1" applyBorder="1" applyAlignment="1" applyProtection="1">
      <alignment wrapText="1"/>
      <protection/>
    </xf>
    <xf numFmtId="15" fontId="4" fillId="0" borderId="47" xfId="0" applyNumberFormat="1" applyFont="1" applyBorder="1" applyAlignment="1" applyProtection="1">
      <alignment horizontal="center" wrapText="1"/>
      <protection/>
    </xf>
    <xf numFmtId="0" fontId="3" fillId="0" borderId="52" xfId="0" applyFont="1" applyBorder="1" applyAlignment="1" applyProtection="1">
      <alignment/>
      <protection/>
    </xf>
    <xf numFmtId="0" fontId="3" fillId="0" borderId="22" xfId="0" applyFont="1" applyBorder="1" applyAlignment="1" applyProtection="1">
      <alignment horizontal="right"/>
      <protection/>
    </xf>
    <xf numFmtId="0" fontId="3" fillId="33" borderId="22" xfId="0" applyFont="1" applyFill="1" applyBorder="1" applyAlignment="1" applyProtection="1">
      <alignment/>
      <protection locked="0"/>
    </xf>
    <xf numFmtId="0" fontId="5" fillId="0" borderId="42" xfId="0" applyFont="1" applyFill="1" applyBorder="1" applyAlignment="1" applyProtection="1">
      <alignment/>
      <protection/>
    </xf>
    <xf numFmtId="0" fontId="1" fillId="0" borderId="50" xfId="0" applyFont="1" applyBorder="1" applyAlignment="1">
      <alignment horizontal="right"/>
    </xf>
    <xf numFmtId="0" fontId="1" fillId="0" borderId="50" xfId="0" applyNumberFormat="1" applyFont="1" applyFill="1" applyBorder="1" applyAlignment="1" applyProtection="1">
      <alignment horizontal="right"/>
      <protection locked="0"/>
    </xf>
    <xf numFmtId="0" fontId="0" fillId="0" borderId="50" xfId="0" applyBorder="1" applyAlignment="1">
      <alignment/>
    </xf>
    <xf numFmtId="0" fontId="0" fillId="0" borderId="53" xfId="0" applyBorder="1" applyAlignment="1">
      <alignment horizontal="center"/>
    </xf>
    <xf numFmtId="0" fontId="8" fillId="0" borderId="17" xfId="53" applyBorder="1" applyAlignment="1" applyProtection="1">
      <alignment/>
      <protection/>
    </xf>
    <xf numFmtId="0" fontId="8" fillId="0" borderId="14" xfId="53" applyBorder="1" applyAlignment="1" applyProtection="1">
      <alignment/>
      <protection/>
    </xf>
    <xf numFmtId="4" fontId="0" fillId="0" borderId="0" xfId="0" applyNumberFormat="1" applyAlignment="1">
      <alignment/>
    </xf>
    <xf numFmtId="0" fontId="0" fillId="0" borderId="27"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54" xfId="0" applyBorder="1" applyAlignment="1">
      <alignment/>
    </xf>
    <xf numFmtId="43" fontId="0" fillId="0" borderId="54" xfId="0" applyNumberFormat="1" applyBorder="1" applyAlignment="1">
      <alignment/>
    </xf>
    <xf numFmtId="0" fontId="0" fillId="0" borderId="55" xfId="0" applyBorder="1" applyAlignment="1">
      <alignment/>
    </xf>
    <xf numFmtId="0" fontId="1" fillId="35" borderId="0" xfId="0" applyFont="1" applyFill="1" applyBorder="1" applyAlignment="1">
      <alignment/>
    </xf>
    <xf numFmtId="0" fontId="1" fillId="0" borderId="0" xfId="0" applyFont="1" applyBorder="1" applyAlignment="1">
      <alignment/>
    </xf>
    <xf numFmtId="0" fontId="1" fillId="35" borderId="10" xfId="0" applyFont="1" applyFill="1" applyBorder="1" applyAlignment="1">
      <alignment/>
    </xf>
    <xf numFmtId="4" fontId="1" fillId="0" borderId="10" xfId="0" applyNumberFormat="1" applyFont="1" applyBorder="1" applyAlignment="1">
      <alignment/>
    </xf>
    <xf numFmtId="4" fontId="11" fillId="0" borderId="10" xfId="0" applyNumberFormat="1" applyFont="1" applyBorder="1" applyAlignment="1">
      <alignment/>
    </xf>
    <xf numFmtId="43" fontId="1" fillId="0" borderId="10" xfId="0" applyNumberFormat="1" applyFont="1" applyBorder="1" applyAlignment="1">
      <alignment/>
    </xf>
    <xf numFmtId="0" fontId="1" fillId="35" borderId="24" xfId="0" applyFont="1" applyFill="1" applyBorder="1" applyAlignment="1">
      <alignment/>
    </xf>
    <xf numFmtId="0" fontId="1" fillId="35" borderId="50" xfId="0" applyFont="1" applyFill="1" applyBorder="1" applyAlignment="1">
      <alignment/>
    </xf>
    <xf numFmtId="0" fontId="1" fillId="0" borderId="30" xfId="0" applyFont="1" applyBorder="1" applyAlignment="1">
      <alignment/>
    </xf>
    <xf numFmtId="0" fontId="0" fillId="35" borderId="36" xfId="0" applyFill="1" applyBorder="1" applyAlignment="1">
      <alignment/>
    </xf>
    <xf numFmtId="0" fontId="0" fillId="35" borderId="54" xfId="0" applyFill="1" applyBorder="1" applyAlignment="1">
      <alignment/>
    </xf>
    <xf numFmtId="0" fontId="0" fillId="0" borderId="54" xfId="0" applyFont="1" applyBorder="1" applyAlignment="1">
      <alignment/>
    </xf>
    <xf numFmtId="0" fontId="3" fillId="0" borderId="20" xfId="0" applyFont="1" applyFill="1" applyBorder="1" applyAlignment="1" applyProtection="1">
      <alignment/>
      <protection/>
    </xf>
    <xf numFmtId="0" fontId="3" fillId="0" borderId="48" xfId="0" applyFont="1" applyFill="1" applyBorder="1" applyAlignment="1" applyProtection="1">
      <alignment/>
      <protection/>
    </xf>
    <xf numFmtId="0" fontId="0" fillId="36" borderId="10" xfId="0" applyFill="1" applyBorder="1" applyAlignment="1" applyProtection="1">
      <alignment/>
      <protection/>
    </xf>
    <xf numFmtId="0" fontId="3" fillId="0" borderId="37" xfId="0" applyFont="1" applyFill="1" applyBorder="1" applyAlignment="1" applyProtection="1">
      <alignment/>
      <protection/>
    </xf>
    <xf numFmtId="0" fontId="0" fillId="0" borderId="37" xfId="0" applyBorder="1" applyAlignment="1" applyProtection="1">
      <alignment/>
      <protection/>
    </xf>
    <xf numFmtId="0" fontId="1" fillId="0" borderId="37" xfId="0" applyFont="1" applyBorder="1" applyAlignment="1" applyProtection="1">
      <alignment/>
      <protection/>
    </xf>
    <xf numFmtId="0" fontId="3" fillId="0" borderId="10" xfId="0" applyFont="1" applyFill="1" applyBorder="1" applyAlignment="1" applyProtection="1">
      <alignment wrapText="1"/>
      <protection/>
    </xf>
    <xf numFmtId="0" fontId="0" fillId="0" borderId="10" xfId="0" applyFill="1" applyBorder="1" applyAlignment="1" applyProtection="1">
      <alignment horizontal="right" wrapText="1"/>
      <protection/>
    </xf>
    <xf numFmtId="2" fontId="0" fillId="0" borderId="10" xfId="0" applyNumberFormat="1" applyFill="1" applyBorder="1" applyAlignment="1" applyProtection="1">
      <alignment wrapText="1"/>
      <protection/>
    </xf>
    <xf numFmtId="0" fontId="0" fillId="0" borderId="10" xfId="0" applyNumberFormat="1" applyFill="1" applyBorder="1" applyAlignment="1" applyProtection="1">
      <alignment wrapText="1"/>
      <protection/>
    </xf>
    <xf numFmtId="0" fontId="1" fillId="0" borderId="37" xfId="0" applyFont="1" applyBorder="1" applyAlignment="1" applyProtection="1">
      <alignment wrapText="1"/>
      <protection/>
    </xf>
    <xf numFmtId="0" fontId="4" fillId="0" borderId="0" xfId="0" applyFont="1" applyFill="1" applyBorder="1" applyAlignment="1" applyProtection="1">
      <alignment horizontal="right"/>
      <protection/>
    </xf>
    <xf numFmtId="9" fontId="4" fillId="0" borderId="0" xfId="0" applyNumberFormat="1" applyFont="1" applyFill="1" applyBorder="1" applyAlignment="1" applyProtection="1">
      <alignment/>
      <protection/>
    </xf>
    <xf numFmtId="4" fontId="4" fillId="0" borderId="0" xfId="0" applyNumberFormat="1" applyFont="1" applyBorder="1" applyAlignment="1" applyProtection="1">
      <alignment/>
      <protection/>
    </xf>
    <xf numFmtId="4" fontId="4" fillId="0" borderId="0" xfId="0" applyNumberFormat="1" applyFont="1" applyFill="1" applyBorder="1" applyAlignment="1" applyProtection="1">
      <alignment/>
      <protection/>
    </xf>
    <xf numFmtId="0" fontId="3" fillId="0" borderId="10" xfId="0" applyFont="1" applyBorder="1" applyAlignment="1" applyProtection="1">
      <alignment wrapText="1"/>
      <protection/>
    </xf>
    <xf numFmtId="0" fontId="0" fillId="36" borderId="10" xfId="0" applyFill="1" applyBorder="1" applyAlignment="1" applyProtection="1">
      <alignment wrapText="1"/>
      <protection/>
    </xf>
    <xf numFmtId="15" fontId="3" fillId="0" borderId="10" xfId="0" applyNumberFormat="1" applyFont="1" applyFill="1" applyBorder="1" applyAlignment="1" applyProtection="1">
      <alignment wrapText="1"/>
      <protection/>
    </xf>
    <xf numFmtId="0" fontId="1" fillId="0" borderId="10" xfId="0" applyFont="1" applyFill="1" applyBorder="1" applyAlignment="1" applyProtection="1">
      <alignment wrapText="1"/>
      <protection/>
    </xf>
    <xf numFmtId="0" fontId="3" fillId="0" borderId="10" xfId="0" applyFont="1" applyFill="1" applyBorder="1" applyAlignment="1" applyProtection="1">
      <alignment horizontal="right" wrapText="1"/>
      <protection/>
    </xf>
    <xf numFmtId="0" fontId="3" fillId="0" borderId="10" xfId="0" applyFont="1" applyFill="1" applyBorder="1" applyAlignment="1" applyProtection="1">
      <alignment horizontal="center" wrapText="1"/>
      <protection locked="0"/>
    </xf>
    <xf numFmtId="0" fontId="3" fillId="0" borderId="10" xfId="0" applyFont="1" applyFill="1" applyBorder="1" applyAlignment="1" applyProtection="1">
      <alignment wrapText="1"/>
      <protection locked="0"/>
    </xf>
    <xf numFmtId="0" fontId="0" fillId="0" borderId="48" xfId="0" applyBorder="1" applyAlignment="1" applyProtection="1">
      <alignment/>
      <protection/>
    </xf>
    <xf numFmtId="181" fontId="0" fillId="0" borderId="10" xfId="0" applyNumberFormat="1" applyFill="1" applyBorder="1" applyAlignment="1" applyProtection="1">
      <alignment wrapText="1"/>
      <protection/>
    </xf>
    <xf numFmtId="0" fontId="0" fillId="0" borderId="10" xfId="0" applyNumberFormat="1" applyFill="1" applyBorder="1" applyAlignment="1" applyProtection="1">
      <alignment horizontal="right"/>
      <protection/>
    </xf>
    <xf numFmtId="181" fontId="0" fillId="0" borderId="10" xfId="0" applyNumberFormat="1" applyBorder="1" applyAlignment="1" applyProtection="1">
      <alignment/>
      <protection/>
    </xf>
    <xf numFmtId="22" fontId="0" fillId="0" borderId="10" xfId="0" applyNumberFormat="1" applyBorder="1" applyAlignment="1" applyProtection="1">
      <alignment/>
      <protection/>
    </xf>
    <xf numFmtId="2" fontId="0" fillId="0" borderId="48" xfId="0" applyNumberFormat="1" applyBorder="1" applyAlignment="1" applyProtection="1">
      <alignment/>
      <protection/>
    </xf>
    <xf numFmtId="0" fontId="1" fillId="0" borderId="56" xfId="0" applyFont="1" applyBorder="1" applyAlignment="1" applyProtection="1">
      <alignment/>
      <protection/>
    </xf>
    <xf numFmtId="0" fontId="1" fillId="0" borderId="57" xfId="0" applyFont="1" applyFill="1" applyBorder="1" applyAlignment="1" applyProtection="1">
      <alignment/>
      <protection/>
    </xf>
    <xf numFmtId="0" fontId="1" fillId="34" borderId="57" xfId="0" applyFont="1" applyFill="1" applyBorder="1" applyAlignment="1" applyProtection="1">
      <alignment/>
      <protection/>
    </xf>
    <xf numFmtId="0" fontId="1" fillId="0" borderId="11" xfId="0" applyFont="1" applyFill="1" applyBorder="1" applyAlignment="1" applyProtection="1">
      <alignment/>
      <protection/>
    </xf>
    <xf numFmtId="0" fontId="1" fillId="0" borderId="57" xfId="0" applyFont="1" applyBorder="1" applyAlignment="1" applyProtection="1">
      <alignment/>
      <protection/>
    </xf>
    <xf numFmtId="0" fontId="1" fillId="0" borderId="34" xfId="0" applyFont="1" applyBorder="1" applyAlignment="1" applyProtection="1">
      <alignment/>
      <protection/>
    </xf>
    <xf numFmtId="0" fontId="0" fillId="0" borderId="58" xfId="0" applyBorder="1" applyAlignment="1" applyProtection="1">
      <alignment/>
      <protection/>
    </xf>
    <xf numFmtId="0" fontId="1" fillId="0" borderId="48" xfId="0" applyFont="1" applyBorder="1" applyAlignment="1" applyProtection="1">
      <alignment/>
      <protection/>
    </xf>
    <xf numFmtId="1" fontId="0" fillId="0" borderId="48" xfId="0" applyNumberFormat="1" applyBorder="1" applyAlignment="1" applyProtection="1">
      <alignment/>
      <protection/>
    </xf>
    <xf numFmtId="0" fontId="0" fillId="0" borderId="48" xfId="0" applyNumberFormat="1" applyBorder="1" applyAlignment="1" applyProtection="1">
      <alignment/>
      <protection/>
    </xf>
    <xf numFmtId="0" fontId="0" fillId="0" borderId="48" xfId="0" applyNumberFormat="1" applyFill="1" applyBorder="1" applyAlignment="1" applyProtection="1">
      <alignment/>
      <protection/>
    </xf>
    <xf numFmtId="1" fontId="1" fillId="0" borderId="57" xfId="0" applyNumberFormat="1" applyFont="1" applyFill="1" applyBorder="1" applyAlignment="1" applyProtection="1">
      <alignment/>
      <protection/>
    </xf>
    <xf numFmtId="1" fontId="1" fillId="34" borderId="57" xfId="0" applyNumberFormat="1" applyFont="1" applyFill="1" applyBorder="1" applyAlignment="1" applyProtection="1">
      <alignment/>
      <protection/>
    </xf>
    <xf numFmtId="2" fontId="0" fillId="0" borderId="37" xfId="0" applyNumberFormat="1" applyBorder="1" applyAlignment="1" applyProtection="1">
      <alignment/>
      <protection/>
    </xf>
    <xf numFmtId="0" fontId="1" fillId="0" borderId="37" xfId="0" applyFont="1" applyFill="1" applyBorder="1" applyAlignment="1" applyProtection="1">
      <alignment/>
      <protection/>
    </xf>
    <xf numFmtId="0" fontId="1" fillId="34" borderId="37" xfId="0" applyFont="1" applyFill="1" applyBorder="1" applyAlignment="1" applyProtection="1">
      <alignment/>
      <protection/>
    </xf>
    <xf numFmtId="1" fontId="0" fillId="0" borderId="37" xfId="0" applyNumberFormat="1" applyBorder="1" applyAlignment="1" applyProtection="1">
      <alignment/>
      <protection/>
    </xf>
    <xf numFmtId="0" fontId="3" fillId="0" borderId="50" xfId="0" applyFont="1" applyBorder="1" applyAlignment="1" applyProtection="1">
      <alignment/>
      <protection/>
    </xf>
    <xf numFmtId="0" fontId="0" fillId="0" borderId="50" xfId="0" applyFont="1" applyBorder="1" applyAlignment="1" applyProtection="1">
      <alignment/>
      <protection/>
    </xf>
    <xf numFmtId="0" fontId="0" fillId="0" borderId="10" xfId="0" applyFont="1" applyBorder="1" applyAlignment="1" applyProtection="1">
      <alignment wrapText="1"/>
      <protection/>
    </xf>
    <xf numFmtId="0" fontId="0" fillId="0" borderId="10" xfId="0" applyFont="1" applyFill="1" applyBorder="1" applyAlignment="1" applyProtection="1">
      <alignment wrapText="1"/>
      <protection/>
    </xf>
    <xf numFmtId="0" fontId="0" fillId="0" borderId="10" xfId="0" applyNumberFormat="1"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50" xfId="0" applyFont="1" applyBorder="1" applyAlignment="1" applyProtection="1">
      <alignment/>
      <protection locked="0"/>
    </xf>
    <xf numFmtId="0" fontId="0" fillId="36" borderId="10" xfId="0" applyFont="1" applyFill="1" applyBorder="1" applyAlignment="1" applyProtection="1">
      <alignment wrapText="1"/>
      <protection/>
    </xf>
    <xf numFmtId="2" fontId="0" fillId="0" borderId="10" xfId="0" applyNumberFormat="1" applyFont="1" applyFill="1" applyBorder="1" applyAlignment="1" applyProtection="1">
      <alignment wrapText="1"/>
      <protection/>
    </xf>
    <xf numFmtId="0" fontId="4" fillId="0" borderId="39" xfId="0" applyFont="1" applyFill="1" applyBorder="1" applyAlignment="1" applyProtection="1">
      <alignment horizontal="center"/>
      <protection/>
    </xf>
    <xf numFmtId="0" fontId="0" fillId="37" borderId="37" xfId="0" applyFill="1" applyBorder="1" applyAlignment="1" applyProtection="1">
      <alignment/>
      <protection/>
    </xf>
    <xf numFmtId="0" fontId="0" fillId="37" borderId="48" xfId="0" applyFill="1" applyBorder="1" applyAlignment="1" applyProtection="1">
      <alignment/>
      <protection/>
    </xf>
    <xf numFmtId="0" fontId="0" fillId="37" borderId="10" xfId="0" applyNumberFormat="1" applyFill="1" applyBorder="1" applyAlignment="1" applyProtection="1">
      <alignment/>
      <protection/>
    </xf>
    <xf numFmtId="0" fontId="0" fillId="37" borderId="37" xfId="0" applyNumberFormat="1" applyFill="1" applyBorder="1" applyAlignment="1" applyProtection="1">
      <alignment/>
      <protection/>
    </xf>
    <xf numFmtId="0" fontId="0" fillId="37" borderId="59" xfId="0" applyNumberFormat="1" applyFill="1" applyBorder="1" applyAlignment="1" applyProtection="1">
      <alignment/>
      <protection/>
    </xf>
    <xf numFmtId="0" fontId="0" fillId="37" borderId="60" xfId="0" applyNumberFormat="1" applyFill="1" applyBorder="1" applyAlignment="1" applyProtection="1">
      <alignment/>
      <protection/>
    </xf>
    <xf numFmtId="0" fontId="3" fillId="0" borderId="45" xfId="0" applyFont="1" applyFill="1" applyBorder="1" applyAlignment="1" applyProtection="1">
      <alignment/>
      <protection/>
    </xf>
    <xf numFmtId="0" fontId="0" fillId="37" borderId="59" xfId="0" applyFill="1" applyBorder="1" applyAlignment="1" applyProtection="1">
      <alignment wrapText="1"/>
      <protection/>
    </xf>
    <xf numFmtId="0" fontId="0" fillId="37" borderId="12" xfId="0" applyFill="1" applyBorder="1" applyAlignment="1" applyProtection="1">
      <alignment/>
      <protection/>
    </xf>
    <xf numFmtId="0" fontId="0" fillId="37" borderId="46" xfId="0" applyNumberFormat="1" applyFill="1" applyBorder="1" applyAlignment="1" applyProtection="1">
      <alignment/>
      <protection/>
    </xf>
    <xf numFmtId="0" fontId="0" fillId="0" borderId="61" xfId="0" applyBorder="1" applyAlignment="1" applyProtection="1">
      <alignment/>
      <protection/>
    </xf>
    <xf numFmtId="0" fontId="0" fillId="37" borderId="60" xfId="0" applyFill="1" applyBorder="1" applyAlignment="1" applyProtection="1">
      <alignment/>
      <protection/>
    </xf>
    <xf numFmtId="0" fontId="0" fillId="37" borderId="57" xfId="0" applyFill="1" applyBorder="1" applyAlignment="1" applyProtection="1">
      <alignment/>
      <protection/>
    </xf>
    <xf numFmtId="0" fontId="0" fillId="37" borderId="52" xfId="0" applyNumberFormat="1" applyFill="1" applyBorder="1" applyAlignment="1" applyProtection="1">
      <alignment/>
      <protection/>
    </xf>
    <xf numFmtId="0" fontId="2" fillId="0" borderId="62" xfId="0" applyFont="1" applyBorder="1" applyAlignment="1" applyProtection="1">
      <alignment horizontal="left"/>
      <protection/>
    </xf>
    <xf numFmtId="15" fontId="4" fillId="0" borderId="13" xfId="0" applyNumberFormat="1" applyFont="1" applyFill="1" applyBorder="1" applyAlignment="1" applyProtection="1">
      <alignment horizontal="left" wrapText="1"/>
      <protection/>
    </xf>
    <xf numFmtId="0" fontId="0" fillId="0" borderId="13" xfId="0" applyBorder="1" applyAlignment="1">
      <alignment horizontal="left"/>
    </xf>
    <xf numFmtId="0" fontId="4" fillId="0" borderId="47" xfId="0" applyFont="1" applyBorder="1" applyAlignment="1" applyProtection="1">
      <alignment horizontal="right" wrapText="1"/>
      <protection/>
    </xf>
    <xf numFmtId="15" fontId="4" fillId="0" borderId="47" xfId="0" applyNumberFormat="1" applyFont="1" applyBorder="1" applyAlignment="1" applyProtection="1">
      <alignment horizontal="left" wrapText="1"/>
      <protection/>
    </xf>
    <xf numFmtId="0" fontId="0" fillId="33" borderId="17" xfId="0" applyFill="1" applyBorder="1" applyAlignment="1" applyProtection="1">
      <alignment horizontal="right"/>
      <protection locked="0"/>
    </xf>
    <xf numFmtId="0" fontId="0" fillId="33" borderId="13" xfId="0" applyFill="1" applyBorder="1" applyAlignment="1" applyProtection="1">
      <alignment horizontal="right"/>
      <protection locked="0"/>
    </xf>
    <xf numFmtId="0" fontId="0" fillId="33" borderId="12" xfId="0" applyFill="1" applyBorder="1" applyAlignment="1" applyProtection="1">
      <alignment horizontal="right"/>
      <protection locked="0"/>
    </xf>
    <xf numFmtId="0" fontId="0" fillId="33" borderId="19" xfId="0" applyFill="1" applyBorder="1" applyAlignment="1" applyProtection="1">
      <alignment horizontal="right"/>
      <protection locked="0"/>
    </xf>
    <xf numFmtId="0" fontId="0" fillId="33" borderId="16" xfId="0" applyFill="1" applyBorder="1" applyAlignment="1" applyProtection="1">
      <alignment horizontal="right"/>
      <protection locked="0"/>
    </xf>
    <xf numFmtId="0" fontId="0" fillId="33" borderId="18" xfId="0" applyFill="1" applyBorder="1" applyAlignment="1" applyProtection="1">
      <alignment horizontal="right"/>
      <protection locked="0"/>
    </xf>
    <xf numFmtId="180" fontId="3" fillId="0" borderId="24" xfId="42" applyNumberFormat="1" applyFont="1" applyFill="1" applyBorder="1" applyAlignment="1" applyProtection="1">
      <alignment/>
      <protection locked="0"/>
    </xf>
    <xf numFmtId="180" fontId="3" fillId="33" borderId="24" xfId="42" applyNumberFormat="1" applyFont="1" applyFill="1" applyBorder="1" applyAlignment="1" applyProtection="1">
      <alignment/>
      <protection locked="0"/>
    </xf>
    <xf numFmtId="14" fontId="0" fillId="0" borderId="0" xfId="0" applyNumberFormat="1" applyFont="1" applyFill="1" applyBorder="1" applyAlignment="1" applyProtection="1">
      <alignment/>
      <protection/>
    </xf>
    <xf numFmtId="0" fontId="3" fillId="0" borderId="45" xfId="0" applyFont="1" applyBorder="1" applyAlignment="1" applyProtection="1">
      <alignment/>
      <protection/>
    </xf>
    <xf numFmtId="0" fontId="3" fillId="0" borderId="20" xfId="0" applyFont="1" applyBorder="1" applyAlignment="1" applyProtection="1">
      <alignment/>
      <protection/>
    </xf>
    <xf numFmtId="0" fontId="0" fillId="0" borderId="27" xfId="0" applyFill="1" applyBorder="1" applyAlignment="1" applyProtection="1">
      <alignment horizontal="right"/>
      <protection locked="0"/>
    </xf>
    <xf numFmtId="180" fontId="3" fillId="33" borderId="23" xfId="42" applyNumberFormat="1" applyFont="1" applyFill="1" applyBorder="1" applyAlignment="1" applyProtection="1">
      <alignment/>
      <protection locked="0"/>
    </xf>
    <xf numFmtId="14" fontId="4" fillId="0" borderId="10" xfId="0" applyNumberFormat="1" applyFont="1" applyBorder="1" applyAlignment="1" applyProtection="1">
      <alignment horizontal="center" wrapText="1"/>
      <protection/>
    </xf>
    <xf numFmtId="15" fontId="4" fillId="0" borderId="24" xfId="0" applyNumberFormat="1" applyFont="1" applyBorder="1" applyAlignment="1" applyProtection="1">
      <alignment/>
      <protection/>
    </xf>
    <xf numFmtId="0" fontId="1" fillId="0" borderId="0" xfId="0" applyNumberFormat="1" applyFont="1" applyBorder="1" applyAlignment="1" applyProtection="1">
      <alignment/>
      <protection/>
    </xf>
    <xf numFmtId="0" fontId="1" fillId="0" borderId="0" xfId="0" applyFont="1" applyBorder="1" applyAlignment="1" applyProtection="1">
      <alignment/>
      <protection/>
    </xf>
    <xf numFmtId="183" fontId="0" fillId="0" borderId="0" xfId="0" applyNumberFormat="1" applyAlignment="1" applyProtection="1">
      <alignment/>
      <protection/>
    </xf>
    <xf numFmtId="183" fontId="0" fillId="0" borderId="0" xfId="0" applyNumberFormat="1" applyBorder="1" applyAlignment="1" applyProtection="1">
      <alignment/>
      <protection/>
    </xf>
    <xf numFmtId="187" fontId="0" fillId="0" borderId="0" xfId="0" applyNumberFormat="1" applyAlignment="1" applyProtection="1">
      <alignment/>
      <protection/>
    </xf>
    <xf numFmtId="0" fontId="0" fillId="0" borderId="0" xfId="0" applyAlignment="1">
      <alignment horizontal="center" wrapText="1"/>
    </xf>
    <xf numFmtId="0" fontId="4" fillId="0" borderId="23" xfId="0" applyFont="1" applyFill="1" applyBorder="1" applyAlignment="1" applyProtection="1">
      <alignment/>
      <protection/>
    </xf>
    <xf numFmtId="0" fontId="4" fillId="0" borderId="24" xfId="0" applyFont="1" applyFill="1" applyBorder="1" applyAlignment="1" applyProtection="1">
      <alignment/>
      <protection/>
    </xf>
    <xf numFmtId="0" fontId="3" fillId="0" borderId="24" xfId="0" applyFont="1" applyFill="1" applyBorder="1" applyAlignment="1" applyProtection="1">
      <alignment/>
      <protection/>
    </xf>
    <xf numFmtId="4" fontId="4" fillId="0" borderId="0" xfId="0" applyNumberFormat="1" applyFont="1" applyFill="1" applyAlignment="1" applyProtection="1">
      <alignment horizontal="right" wrapText="1"/>
      <protection/>
    </xf>
    <xf numFmtId="4" fontId="4" fillId="0" borderId="63" xfId="0" applyNumberFormat="1" applyFont="1" applyBorder="1" applyAlignment="1">
      <alignment horizontal="right" wrapText="1"/>
    </xf>
    <xf numFmtId="180" fontId="4" fillId="0" borderId="30" xfId="0" applyNumberFormat="1" applyFont="1" applyFill="1" applyBorder="1" applyAlignment="1" applyProtection="1">
      <alignment/>
      <protection/>
    </xf>
    <xf numFmtId="0" fontId="1" fillId="0" borderId="0" xfId="0" applyFont="1" applyBorder="1" applyAlignment="1" applyProtection="1">
      <alignment horizontal="right"/>
      <protection/>
    </xf>
    <xf numFmtId="0" fontId="1" fillId="0" borderId="11" xfId="0" applyFont="1" applyBorder="1" applyAlignment="1" applyProtection="1">
      <alignment horizontal="right"/>
      <protection/>
    </xf>
    <xf numFmtId="185" fontId="4" fillId="0" borderId="27" xfId="0" applyNumberFormat="1" applyFont="1" applyFill="1" applyBorder="1" applyAlignment="1" applyProtection="1">
      <alignment horizontal="right" wrapText="1"/>
      <protection/>
    </xf>
    <xf numFmtId="0" fontId="0" fillId="0" borderId="0" xfId="0" applyBorder="1" applyAlignment="1">
      <alignment horizontal="right"/>
    </xf>
    <xf numFmtId="0" fontId="3" fillId="33" borderId="10" xfId="0" applyFont="1" applyFill="1" applyBorder="1" applyAlignment="1" applyProtection="1">
      <alignment/>
      <protection locked="0"/>
    </xf>
    <xf numFmtId="182" fontId="12" fillId="0" borderId="0" xfId="53" applyNumberFormat="1" applyFont="1" applyAlignment="1" applyProtection="1">
      <alignment horizontal="left"/>
      <protection/>
    </xf>
    <xf numFmtId="0" fontId="4" fillId="0" borderId="44" xfId="0" applyFont="1" applyBorder="1" applyAlignment="1" applyProtection="1">
      <alignment horizontal="right" shrinkToFit="1"/>
      <protection/>
    </xf>
    <xf numFmtId="0" fontId="0" fillId="0" borderId="44" xfId="0" applyBorder="1" applyAlignment="1">
      <alignment horizontal="right" shrinkToFit="1"/>
    </xf>
    <xf numFmtId="0" fontId="4" fillId="0" borderId="0" xfId="0" applyFont="1" applyAlignment="1" applyProtection="1">
      <alignment horizontal="right"/>
      <protection/>
    </xf>
    <xf numFmtId="0" fontId="0" fillId="0" borderId="0" xfId="0" applyAlignment="1">
      <alignment horizontal="right"/>
    </xf>
    <xf numFmtId="0" fontId="4" fillId="33" borderId="10" xfId="0" applyFont="1" applyFill="1" applyBorder="1" applyAlignment="1" applyProtection="1">
      <alignment horizontal="left"/>
      <protection locked="0"/>
    </xf>
    <xf numFmtId="0" fontId="0" fillId="0" borderId="10" xfId="0" applyBorder="1" applyAlignment="1" applyProtection="1">
      <alignment horizontal="left"/>
      <protection locked="0"/>
    </xf>
    <xf numFmtId="0" fontId="3" fillId="0" borderId="45" xfId="0" applyFont="1" applyFill="1" applyBorder="1" applyAlignment="1" applyProtection="1">
      <alignment horizontal="right" wrapText="1"/>
      <protection/>
    </xf>
    <xf numFmtId="0" fontId="0" fillId="0" borderId="47" xfId="0" applyBorder="1" applyAlignment="1">
      <alignment horizontal="right"/>
    </xf>
    <xf numFmtId="0" fontId="0" fillId="0" borderId="48" xfId="0" applyBorder="1" applyAlignment="1">
      <alignment horizontal="right"/>
    </xf>
    <xf numFmtId="0" fontId="3" fillId="0" borderId="45" xfId="0" applyFont="1" applyFill="1" applyBorder="1" applyAlignment="1" applyProtection="1">
      <alignment horizontal="right"/>
      <protection/>
    </xf>
    <xf numFmtId="0" fontId="3" fillId="0" borderId="19" xfId="0" applyFont="1" applyFill="1" applyBorder="1" applyAlignment="1" applyProtection="1">
      <alignment horizontal="right"/>
      <protection/>
    </xf>
    <xf numFmtId="0" fontId="0" fillId="0" borderId="16" xfId="0" applyBorder="1" applyAlignment="1">
      <alignment horizontal="right"/>
    </xf>
    <xf numFmtId="0" fontId="0" fillId="0" borderId="18" xfId="0" applyBorder="1" applyAlignment="1">
      <alignment horizontal="right"/>
    </xf>
    <xf numFmtId="0" fontId="1" fillId="0" borderId="64" xfId="0" applyFont="1" applyBorder="1" applyAlignment="1" applyProtection="1">
      <alignment horizontal="left" wrapText="1"/>
      <protection/>
    </xf>
    <xf numFmtId="0" fontId="1" fillId="0" borderId="47" xfId="0" applyFont="1" applyBorder="1" applyAlignment="1" applyProtection="1">
      <alignment horizontal="left" wrapText="1"/>
      <protection/>
    </xf>
    <xf numFmtId="15" fontId="1" fillId="0" borderId="65" xfId="0" applyNumberFormat="1" applyFont="1" applyBorder="1" applyAlignment="1">
      <alignment horizontal="center" vertical="center"/>
    </xf>
    <xf numFmtId="0" fontId="1" fillId="0" borderId="16" xfId="0" applyFont="1" applyBorder="1" applyAlignment="1">
      <alignment horizontal="center" vertical="center"/>
    </xf>
    <xf numFmtId="0" fontId="4" fillId="0" borderId="47" xfId="0" applyFont="1" applyBorder="1" applyAlignment="1" applyProtection="1">
      <alignment horizontal="left" wrapText="1"/>
      <protection/>
    </xf>
    <xf numFmtId="0" fontId="1" fillId="0" borderId="27" xfId="0" applyFont="1" applyFill="1" applyBorder="1" applyAlignment="1" applyProtection="1">
      <alignment horizontal="left"/>
      <protection locked="0"/>
    </xf>
    <xf numFmtId="0" fontId="1" fillId="0" borderId="0" xfId="0" applyFont="1" applyBorder="1" applyAlignment="1">
      <alignment horizontal="left"/>
    </xf>
    <xf numFmtId="0" fontId="3" fillId="33" borderId="45" xfId="0" applyNumberFormat="1" applyFont="1" applyFill="1" applyBorder="1" applyAlignment="1" applyProtection="1">
      <alignment horizontal="right"/>
      <protection locked="0"/>
    </xf>
    <xf numFmtId="0" fontId="3" fillId="33" borderId="48" xfId="0" applyNumberFormat="1" applyFont="1" applyFill="1" applyBorder="1" applyAlignment="1" applyProtection="1" quotePrefix="1">
      <alignment horizontal="right"/>
      <protection locked="0"/>
    </xf>
    <xf numFmtId="0" fontId="4" fillId="0" borderId="66" xfId="0" applyFont="1" applyBorder="1" applyAlignment="1" applyProtection="1">
      <alignment horizontal="right"/>
      <protection/>
    </xf>
    <xf numFmtId="0" fontId="2" fillId="0" borderId="0" xfId="0" applyFont="1" applyFill="1" applyAlignment="1" applyProtection="1">
      <alignment horizontal="center"/>
      <protection/>
    </xf>
    <xf numFmtId="0" fontId="12" fillId="0" borderId="67" xfId="53" applyFont="1" applyBorder="1" applyAlignment="1" applyProtection="1">
      <alignment horizontal="center"/>
      <protection/>
    </xf>
    <xf numFmtId="0" fontId="12" fillId="0" borderId="24" xfId="53" applyFont="1" applyBorder="1" applyAlignment="1" applyProtection="1">
      <alignment horizontal="center"/>
      <protection/>
    </xf>
    <xf numFmtId="0" fontId="12" fillId="0" borderId="68" xfId="53" applyFont="1" applyBorder="1" applyAlignment="1" applyProtection="1">
      <alignment horizontal="center"/>
      <protection/>
    </xf>
    <xf numFmtId="0" fontId="3" fillId="0" borderId="45" xfId="0" applyFont="1" applyFill="1" applyBorder="1" applyAlignment="1" applyProtection="1">
      <alignment/>
      <protection/>
    </xf>
    <xf numFmtId="0" fontId="3" fillId="0" borderId="48" xfId="0" applyFont="1" applyFill="1" applyBorder="1" applyAlignment="1" applyProtection="1">
      <alignment/>
      <protection/>
    </xf>
    <xf numFmtId="49" fontId="4" fillId="33" borderId="45" xfId="0" applyNumberFormat="1" applyFont="1" applyFill="1" applyBorder="1" applyAlignment="1" applyProtection="1">
      <alignment horizontal="left"/>
      <protection locked="0"/>
    </xf>
    <xf numFmtId="49" fontId="0" fillId="33" borderId="47" xfId="0" applyNumberFormat="1" applyFill="1" applyBorder="1" applyAlignment="1" applyProtection="1">
      <alignment horizontal="left"/>
      <protection locked="0"/>
    </xf>
    <xf numFmtId="49" fontId="0" fillId="33" borderId="48" xfId="0" applyNumberFormat="1" applyFill="1" applyBorder="1" applyAlignment="1" applyProtection="1">
      <alignment horizontal="left"/>
      <protection locked="0"/>
    </xf>
    <xf numFmtId="0" fontId="4" fillId="0" borderId="11" xfId="0" applyFont="1" applyBorder="1" applyAlignment="1" applyProtection="1">
      <alignment wrapText="1"/>
      <protection/>
    </xf>
    <xf numFmtId="0" fontId="0" fillId="0" borderId="11" xfId="0" applyBorder="1" applyAlignment="1">
      <alignment wrapText="1"/>
    </xf>
    <xf numFmtId="0" fontId="0" fillId="0" borderId="34" xfId="0" applyBorder="1" applyAlignment="1">
      <alignment wrapText="1"/>
    </xf>
    <xf numFmtId="0" fontId="2" fillId="0" borderId="0" xfId="0" applyFont="1" applyAlignment="1" applyProtection="1">
      <alignment horizontal="center"/>
      <protection/>
    </xf>
    <xf numFmtId="0" fontId="3" fillId="0" borderId="10" xfId="0" applyFont="1" applyFill="1" applyBorder="1" applyAlignment="1" applyProtection="1">
      <alignment horizontal="right"/>
      <protection/>
    </xf>
    <xf numFmtId="0" fontId="0" fillId="0" borderId="10" xfId="0" applyFill="1" applyBorder="1" applyAlignment="1" applyProtection="1">
      <alignment horizontal="right"/>
      <protection/>
    </xf>
    <xf numFmtId="0" fontId="4" fillId="0" borderId="69" xfId="0" applyFont="1" applyBorder="1" applyAlignment="1" applyProtection="1">
      <alignment horizontal="center"/>
      <protection/>
    </xf>
    <xf numFmtId="0" fontId="4" fillId="0" borderId="44" xfId="0" applyFont="1" applyBorder="1" applyAlignment="1" applyProtection="1">
      <alignment horizontal="center"/>
      <protection/>
    </xf>
    <xf numFmtId="0" fontId="4" fillId="0" borderId="58" xfId="0" applyFont="1" applyBorder="1" applyAlignment="1" applyProtection="1">
      <alignment horizontal="center"/>
      <protection/>
    </xf>
    <xf numFmtId="15" fontId="3" fillId="33" borderId="48" xfId="0" applyNumberFormat="1" applyFont="1" applyFill="1" applyBorder="1" applyAlignment="1" applyProtection="1">
      <alignment horizontal="right"/>
      <protection locked="0"/>
    </xf>
    <xf numFmtId="15" fontId="3" fillId="33" borderId="10" xfId="0" applyNumberFormat="1" applyFont="1" applyFill="1" applyBorder="1" applyAlignment="1" applyProtection="1" quotePrefix="1">
      <alignment horizontal="right"/>
      <protection locked="0"/>
    </xf>
    <xf numFmtId="15" fontId="3" fillId="33" borderId="10" xfId="0" applyNumberFormat="1" applyFont="1" applyFill="1" applyBorder="1" applyAlignment="1" applyProtection="1">
      <alignment horizontal="right"/>
      <protection locked="0"/>
    </xf>
    <xf numFmtId="49" fontId="4" fillId="33" borderId="10" xfId="0" applyNumberFormat="1" applyFont="1" applyFill="1" applyBorder="1" applyAlignment="1" applyProtection="1">
      <alignment horizontal="left"/>
      <protection locked="0"/>
    </xf>
    <xf numFmtId="49" fontId="0" fillId="0" borderId="10" xfId="0" applyNumberFormat="1" applyBorder="1" applyAlignment="1" applyProtection="1">
      <alignment horizontal="left"/>
      <protection locked="0"/>
    </xf>
    <xf numFmtId="0" fontId="0" fillId="0" borderId="17" xfId="0"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0" fillId="0" borderId="19" xfId="0" applyBorder="1" applyAlignment="1" applyProtection="1">
      <alignment wrapText="1"/>
      <protection locked="0"/>
    </xf>
    <xf numFmtId="0" fontId="0" fillId="0" borderId="16" xfId="0" applyBorder="1" applyAlignment="1" applyProtection="1">
      <alignment wrapText="1"/>
      <protection locked="0"/>
    </xf>
    <xf numFmtId="0" fontId="0" fillId="0" borderId="18" xfId="0" applyBorder="1" applyAlignment="1" applyProtection="1">
      <alignment wrapText="1"/>
      <protection locked="0"/>
    </xf>
    <xf numFmtId="0" fontId="4" fillId="0" borderId="30" xfId="0" applyFont="1" applyFill="1" applyBorder="1" applyAlignment="1" applyProtection="1">
      <alignment horizontal="right"/>
      <protection/>
    </xf>
    <xf numFmtId="0" fontId="4" fillId="0" borderId="45" xfId="0" applyFont="1" applyBorder="1" applyAlignment="1" applyProtection="1">
      <alignment horizontal="center" wrapText="1"/>
      <protection/>
    </xf>
    <xf numFmtId="0" fontId="0" fillId="0" borderId="48" xfId="0" applyBorder="1" applyAlignment="1">
      <alignment horizontal="center" wrapText="1"/>
    </xf>
    <xf numFmtId="0" fontId="4" fillId="0" borderId="38" xfId="0" applyFont="1" applyBorder="1" applyAlignment="1" applyProtection="1">
      <alignment horizontal="center" wrapText="1"/>
      <protection/>
    </xf>
    <xf numFmtId="0" fontId="1" fillId="0" borderId="38" xfId="0" applyFont="1" applyBorder="1" applyAlignment="1">
      <alignment horizontal="center"/>
    </xf>
    <xf numFmtId="0" fontId="0" fillId="0" borderId="10" xfId="0" applyBorder="1" applyAlignment="1">
      <alignment wrapText="1"/>
    </xf>
    <xf numFmtId="0" fontId="3" fillId="0" borderId="64" xfId="0" applyFont="1" applyBorder="1" applyAlignment="1" applyProtection="1">
      <alignment/>
      <protection/>
    </xf>
    <xf numFmtId="0" fontId="0" fillId="0" borderId="47" xfId="0" applyBorder="1" applyAlignment="1">
      <alignment/>
    </xf>
    <xf numFmtId="0" fontId="0" fillId="0" borderId="48" xfId="0" applyBorder="1" applyAlignment="1">
      <alignment/>
    </xf>
    <xf numFmtId="0" fontId="0" fillId="0" borderId="45" xfId="0" applyBorder="1" applyAlignment="1">
      <alignment wrapText="1"/>
    </xf>
    <xf numFmtId="0" fontId="0" fillId="0" borderId="48" xfId="0" applyBorder="1" applyAlignment="1">
      <alignment wrapText="1"/>
    </xf>
    <xf numFmtId="0" fontId="3" fillId="0" borderId="45" xfId="0" applyFont="1" applyBorder="1" applyAlignment="1" applyProtection="1">
      <alignment/>
      <protection/>
    </xf>
    <xf numFmtId="0" fontId="3" fillId="0" borderId="47" xfId="0" applyFont="1" applyBorder="1" applyAlignment="1" applyProtection="1">
      <alignment/>
      <protection/>
    </xf>
    <xf numFmtId="0" fontId="3" fillId="0" borderId="48" xfId="0" applyFont="1" applyBorder="1" applyAlignment="1" applyProtection="1">
      <alignment/>
      <protection/>
    </xf>
    <xf numFmtId="0" fontId="4" fillId="0" borderId="62" xfId="0" applyFont="1" applyBorder="1" applyAlignment="1" applyProtection="1">
      <alignment horizontal="left"/>
      <protection/>
    </xf>
    <xf numFmtId="0" fontId="0" fillId="0" borderId="44" xfId="0" applyBorder="1" applyAlignment="1">
      <alignment horizontal="left"/>
    </xf>
    <xf numFmtId="0" fontId="0" fillId="0" borderId="58" xfId="0" applyBorder="1" applyAlignment="1">
      <alignment horizontal="left"/>
    </xf>
    <xf numFmtId="0" fontId="0" fillId="0" borderId="38" xfId="0" applyBorder="1" applyAlignment="1">
      <alignment horizontal="center" wrapText="1"/>
    </xf>
    <xf numFmtId="0" fontId="3" fillId="0" borderId="10" xfId="0" applyFont="1" applyBorder="1" applyAlignment="1" applyProtection="1">
      <alignment wrapText="1"/>
      <protection/>
    </xf>
    <xf numFmtId="0" fontId="0" fillId="0" borderId="10" xfId="0" applyBorder="1" applyAlignment="1" applyProtection="1">
      <alignment wrapText="1"/>
      <protection/>
    </xf>
    <xf numFmtId="0" fontId="0" fillId="0" borderId="64" xfId="0" applyFont="1" applyBorder="1" applyAlignment="1" applyProtection="1">
      <alignment wrapText="1"/>
      <protection/>
    </xf>
    <xf numFmtId="0" fontId="0" fillId="0" borderId="47" xfId="0" applyFont="1" applyBorder="1" applyAlignment="1">
      <alignment/>
    </xf>
    <xf numFmtId="0" fontId="0" fillId="0" borderId="4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color indexed="9"/>
      </font>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0"/>
        </patternFill>
      </fill>
    </dxf>
    <dxf>
      <fill>
        <patternFill>
          <bgColor indexed="10"/>
        </patternFill>
      </fill>
    </dxf>
    <dxf>
      <fill>
        <patternFill>
          <bgColor indexed="9"/>
        </patternFill>
      </fill>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org/Depts/OHRM/salaries_allowances/salaries/gs.htm" TargetMode="External" /><Relationship Id="rId2" Type="http://schemas.openxmlformats.org/officeDocument/2006/relationships/hyperlink" Target="http://www.un.org/depts/treasury" TargetMode="External" /><Relationship Id="rId3" Type="http://schemas.openxmlformats.org/officeDocument/2006/relationships/hyperlink" Target="http://www.un.org/hr_handbook/sourcedocuments_/03staffregulati_/sreg95retiremen/" TargetMode="External" /><Relationship Id="rId4" Type="http://schemas.openxmlformats.org/officeDocument/2006/relationships/hyperlink" Target="http://www.un.org/Depts/OHRM/salaries_allowances/salaries/gs.htm" TargetMode="External" /><Relationship Id="rId5" Type="http://schemas.openxmlformats.org/officeDocument/2006/relationships/hyperlink" Target="http://www.un.org/Depts/OHRM/salaries_allowances/salaries/gs.htm"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105"/>
  <sheetViews>
    <sheetView tabSelected="1" zoomScalePageLayoutView="0" workbookViewId="0" topLeftCell="A1">
      <selection activeCell="C3" sqref="C3:E3"/>
    </sheetView>
  </sheetViews>
  <sheetFormatPr defaultColWidth="9.140625" defaultRowHeight="12.75"/>
  <cols>
    <col min="1" max="1" width="3.7109375" style="13" customWidth="1"/>
    <col min="2" max="2" width="21.00390625" style="13" customWidth="1"/>
    <col min="3" max="3" width="10.140625" style="13" customWidth="1"/>
    <col min="4" max="4" width="15.57421875" style="13" customWidth="1"/>
    <col min="5" max="5" width="16.8515625" style="13" customWidth="1"/>
    <col min="6" max="6" width="11.421875" style="13" customWidth="1"/>
    <col min="7" max="7" width="10.7109375" style="13" customWidth="1"/>
    <col min="8" max="8" width="15.57421875" style="13" customWidth="1"/>
    <col min="9" max="9" width="14.28125" style="13" customWidth="1"/>
    <col min="10" max="10" width="13.7109375" style="13" customWidth="1"/>
    <col min="11" max="11" width="10.7109375" style="61" customWidth="1"/>
    <col min="12" max="12" width="10.7109375" style="61" hidden="1" customWidth="1"/>
    <col min="13" max="13" width="15.421875" style="12" bestFit="1" customWidth="1"/>
    <col min="14" max="14" width="24.421875" style="12" customWidth="1"/>
    <col min="15" max="15" width="9.28125" style="12" bestFit="1" customWidth="1"/>
    <col min="16" max="16" width="9.140625" style="12" customWidth="1"/>
    <col min="17" max="17" width="9.140625" style="13" customWidth="1"/>
    <col min="18" max="18" width="10.140625" style="13" bestFit="1" customWidth="1"/>
    <col min="19" max="16384" width="9.140625" style="13" customWidth="1"/>
  </cols>
  <sheetData>
    <row r="1" spans="1:15" ht="15.75">
      <c r="A1" s="393" t="s">
        <v>128</v>
      </c>
      <c r="B1" s="393"/>
      <c r="C1" s="393"/>
      <c r="D1" s="393"/>
      <c r="E1" s="393"/>
      <c r="F1" s="393"/>
      <c r="G1" s="393"/>
      <c r="H1" s="393"/>
      <c r="I1" s="393"/>
      <c r="J1" s="393"/>
      <c r="K1" s="14"/>
      <c r="L1" s="14"/>
      <c r="M1" s="11"/>
      <c r="N1" s="11"/>
      <c r="O1" s="11"/>
    </row>
    <row r="2" spans="11:15" ht="5.25" customHeight="1">
      <c r="K2" s="14"/>
      <c r="L2" s="14"/>
      <c r="M2" s="15"/>
      <c r="N2" s="14"/>
      <c r="O2" s="11"/>
    </row>
    <row r="3" spans="1:15" ht="12.75">
      <c r="A3" s="16" t="s">
        <v>0</v>
      </c>
      <c r="B3" s="16"/>
      <c r="C3" s="362"/>
      <c r="D3" s="363"/>
      <c r="E3" s="363"/>
      <c r="F3" s="17"/>
      <c r="G3" s="174" t="s">
        <v>15</v>
      </c>
      <c r="H3" s="252"/>
      <c r="I3" s="399"/>
      <c r="J3" s="400"/>
      <c r="K3" s="14"/>
      <c r="L3" s="14"/>
      <c r="M3" s="14"/>
      <c r="N3" s="14"/>
      <c r="O3" s="11"/>
    </row>
    <row r="4" spans="1:15" ht="12.75">
      <c r="A4" s="16" t="s">
        <v>1</v>
      </c>
      <c r="B4" s="16"/>
      <c r="C4" s="402"/>
      <c r="D4" s="403"/>
      <c r="E4" s="403"/>
      <c r="F4" s="17"/>
      <c r="G4" s="251" t="s">
        <v>17</v>
      </c>
      <c r="H4" s="251"/>
      <c r="I4" s="401"/>
      <c r="J4" s="400"/>
      <c r="K4" s="122"/>
      <c r="L4" s="14"/>
      <c r="M4" s="14"/>
      <c r="N4" s="14"/>
      <c r="O4" s="11"/>
    </row>
    <row r="5" spans="1:15" ht="12.75">
      <c r="A5" s="16" t="s">
        <v>3</v>
      </c>
      <c r="B5" s="16"/>
      <c r="C5" s="362"/>
      <c r="D5" s="363"/>
      <c r="E5" s="363"/>
      <c r="F5" s="17"/>
      <c r="G5" s="16" t="s">
        <v>16</v>
      </c>
      <c r="H5" s="16"/>
      <c r="I5" s="401"/>
      <c r="J5" s="400"/>
      <c r="K5" s="14"/>
      <c r="L5" s="14"/>
      <c r="M5" s="14"/>
      <c r="N5" s="11"/>
      <c r="O5" s="11"/>
    </row>
    <row r="6" spans="1:15" ht="12.75">
      <c r="A6" s="16" t="s">
        <v>2</v>
      </c>
      <c r="B6" s="16"/>
      <c r="C6" s="362"/>
      <c r="D6" s="363"/>
      <c r="E6" s="363"/>
      <c r="F6" s="17"/>
      <c r="G6" s="16" t="s">
        <v>66</v>
      </c>
      <c r="H6" s="175"/>
      <c r="I6" s="394">
        <f>IF(OR(I3="",I5=""),"",K72&amp;IF(D12&gt;1," years, "," year, ")&amp;J71&amp;IF(J71&gt;1," months"," month"))</f>
      </c>
      <c r="J6" s="395"/>
      <c r="K6" s="14"/>
      <c r="L6" s="14"/>
      <c r="M6" s="14"/>
      <c r="N6" s="11"/>
      <c r="O6" s="11"/>
    </row>
    <row r="7" spans="1:15" ht="12.75">
      <c r="A7" s="16" t="s">
        <v>4</v>
      </c>
      <c r="B7" s="16"/>
      <c r="C7" s="362"/>
      <c r="D7" s="363"/>
      <c r="E7" s="363"/>
      <c r="F7" s="17"/>
      <c r="G7" s="174" t="s">
        <v>18</v>
      </c>
      <c r="H7" s="176"/>
      <c r="I7" s="401"/>
      <c r="J7" s="400"/>
      <c r="K7" s="14"/>
      <c r="L7" s="333">
        <v>32874</v>
      </c>
      <c r="M7" s="14"/>
      <c r="N7" s="11"/>
      <c r="O7" s="11"/>
    </row>
    <row r="8" spans="1:15" ht="12.75">
      <c r="A8" s="385" t="s">
        <v>63</v>
      </c>
      <c r="B8" s="386"/>
      <c r="C8" s="387"/>
      <c r="D8" s="388"/>
      <c r="E8" s="389"/>
      <c r="F8" s="17"/>
      <c r="G8" s="204" t="s">
        <v>29</v>
      </c>
      <c r="H8" s="205"/>
      <c r="I8" s="378">
        <f>+IF(I3&gt;L7,62,60)</f>
        <v>60</v>
      </c>
      <c r="J8" s="379"/>
      <c r="K8" s="14"/>
      <c r="L8" s="14"/>
      <c r="M8" s="14"/>
      <c r="N8" s="11"/>
      <c r="O8" s="11"/>
    </row>
    <row r="9" spans="1:10" ht="21.75" customHeight="1">
      <c r="A9" s="381" t="s">
        <v>124</v>
      </c>
      <c r="B9" s="381"/>
      <c r="C9" s="381"/>
      <c r="D9" s="381"/>
      <c r="E9" s="381"/>
      <c r="F9" s="381"/>
      <c r="G9" s="381"/>
      <c r="H9" s="381"/>
      <c r="I9" s="381"/>
      <c r="J9" s="381"/>
    </row>
    <row r="10" ht="3.75" customHeight="1" thickBot="1"/>
    <row r="11" spans="1:10" ht="24">
      <c r="A11" s="71" t="s">
        <v>127</v>
      </c>
      <c r="B11" s="72"/>
      <c r="C11" s="331"/>
      <c r="D11" s="332"/>
      <c r="E11" s="332"/>
      <c r="F11" s="382" t="s">
        <v>13</v>
      </c>
      <c r="G11" s="383"/>
      <c r="H11" s="384"/>
      <c r="I11" s="98" t="s">
        <v>59</v>
      </c>
      <c r="J11" s="99" t="s">
        <v>58</v>
      </c>
    </row>
    <row r="12" spans="1:10" ht="16.5" customHeight="1">
      <c r="A12" s="75"/>
      <c r="B12" s="20" t="s">
        <v>67</v>
      </c>
      <c r="C12" s="23"/>
      <c r="D12" s="24">
        <f>IF(OR(I3="",I5=""),0,+K76)</f>
        <v>0</v>
      </c>
      <c r="E12" s="20"/>
      <c r="F12" s="229" t="s">
        <v>11</v>
      </c>
      <c r="G12" s="18"/>
      <c r="H12" s="8"/>
      <c r="I12" s="25">
        <f>H12*D16</f>
        <v>0</v>
      </c>
      <c r="J12" s="100"/>
    </row>
    <row r="13" spans="1:10" ht="12.75">
      <c r="A13" s="75"/>
      <c r="B13" s="26" t="s">
        <v>68</v>
      </c>
      <c r="C13" s="27"/>
      <c r="D13" s="28">
        <f>+J75</f>
        <v>0</v>
      </c>
      <c r="E13" s="20"/>
      <c r="F13" s="230" t="s">
        <v>12</v>
      </c>
      <c r="G13" s="20"/>
      <c r="H13" s="6"/>
      <c r="I13" s="29">
        <f>H13*D16</f>
        <v>0</v>
      </c>
      <c r="J13" s="100"/>
    </row>
    <row r="14" spans="1:10" ht="12.75">
      <c r="A14" s="75"/>
      <c r="B14" s="20" t="s">
        <v>25</v>
      </c>
      <c r="C14" s="20"/>
      <c r="D14" s="147">
        <f>+L77</f>
        <v>0</v>
      </c>
      <c r="E14" s="390">
        <f>+IF(+L80&gt;L94,"Max. allowed due to normal retirement age","")</f>
      </c>
      <c r="F14" s="230" t="s">
        <v>22</v>
      </c>
      <c r="G14" s="20"/>
      <c r="H14" s="7"/>
      <c r="I14" s="29">
        <f>H14*D16</f>
        <v>0</v>
      </c>
      <c r="J14" s="100"/>
    </row>
    <row r="15" spans="1:11" ht="12.75">
      <c r="A15" s="75"/>
      <c r="B15" s="20">
        <f>IF(B81=TRUE,"Plus: 50% Indemnity (Type 1 only):","")</f>
      </c>
      <c r="C15" s="20"/>
      <c r="D15" s="147">
        <f>IF(B81=TRUE,D14*0.5,0)</f>
        <v>0</v>
      </c>
      <c r="E15" s="391"/>
      <c r="F15" s="19"/>
      <c r="G15" s="20"/>
      <c r="H15" s="30"/>
      <c r="I15" s="20"/>
      <c r="J15" s="100"/>
      <c r="K15" s="123"/>
    </row>
    <row r="16" spans="1:10" ht="13.5" thickBot="1">
      <c r="A16" s="77"/>
      <c r="B16" s="101" t="s">
        <v>5</v>
      </c>
      <c r="C16" s="101"/>
      <c r="D16" s="148">
        <f>+L94</f>
        <v>0</v>
      </c>
      <c r="E16" s="392"/>
      <c r="F16" s="102" t="s">
        <v>6</v>
      </c>
      <c r="G16" s="101"/>
      <c r="H16" s="103">
        <f>+H12-H13+H14</f>
        <v>0</v>
      </c>
      <c r="I16" s="104">
        <f>+H16*D16</f>
        <v>0</v>
      </c>
      <c r="J16" s="83">
        <f>+H16*D16</f>
        <v>0</v>
      </c>
    </row>
    <row r="17" spans="1:12" ht="40.5" customHeight="1">
      <c r="A17" s="337"/>
      <c r="B17" s="332"/>
      <c r="C17" s="332"/>
      <c r="D17" s="84" t="s">
        <v>20</v>
      </c>
      <c r="E17" s="85" t="str">
        <f>+IF(B80&gt;0,+IF(B84&gt;0,B84,"")&amp;IF(B84&gt;1," months"," month"))&amp;IF(B84&lt;3," (limited by retirement date)","")</f>
        <v>3 months</v>
      </c>
      <c r="F17" s="396" t="s">
        <v>21</v>
      </c>
      <c r="G17" s="397"/>
      <c r="H17" s="398"/>
      <c r="I17" s="86"/>
      <c r="J17" s="87"/>
      <c r="L17" s="123"/>
    </row>
    <row r="18" spans="1:10" ht="14.25" customHeight="1">
      <c r="A18" s="75"/>
      <c r="B18" s="20" t="s">
        <v>6</v>
      </c>
      <c r="C18" s="20"/>
      <c r="D18" s="31">
        <f>+IF(B80=2,H16,0)</f>
        <v>0</v>
      </c>
      <c r="E18" s="32">
        <f>+D18*B84</f>
        <v>0</v>
      </c>
      <c r="F18" s="55"/>
      <c r="G18" s="21" t="s">
        <v>20</v>
      </c>
      <c r="H18" s="33" t="str">
        <f>+E17</f>
        <v>3 months</v>
      </c>
      <c r="I18" s="34"/>
      <c r="J18" s="88"/>
    </row>
    <row r="19" spans="1:10" ht="12.75">
      <c r="A19" s="75"/>
      <c r="B19" s="206" t="s">
        <v>43</v>
      </c>
      <c r="C19" s="20"/>
      <c r="D19" s="4"/>
      <c r="E19" s="32">
        <f>IF(B80=2,+D19*B84,0)</f>
        <v>0</v>
      </c>
      <c r="F19" s="35"/>
      <c r="G19" s="36"/>
      <c r="H19" s="37"/>
      <c r="I19" s="34"/>
      <c r="J19" s="89"/>
    </row>
    <row r="20" spans="1:10" ht="12.75">
      <c r="A20" s="75"/>
      <c r="B20" s="206" t="s">
        <v>27</v>
      </c>
      <c r="C20" s="20"/>
      <c r="D20" s="4"/>
      <c r="E20" s="32">
        <f>IF(B80=2,+D20*B84,0)</f>
        <v>0</v>
      </c>
      <c r="F20" s="20"/>
      <c r="G20" s="20"/>
      <c r="H20" s="20"/>
      <c r="I20" s="34"/>
      <c r="J20" s="90"/>
    </row>
    <row r="21" spans="1:10" ht="12.75">
      <c r="A21" s="75"/>
      <c r="B21" s="20" t="s">
        <v>7</v>
      </c>
      <c r="C21" s="20"/>
      <c r="D21" s="4"/>
      <c r="E21" s="32">
        <f>IF(B80=2,+D21*B84,0)</f>
        <v>0</v>
      </c>
      <c r="F21" s="55"/>
      <c r="G21" s="4"/>
      <c r="H21" s="38">
        <f>IF(B80=2,+G21*B84,0)</f>
        <v>0</v>
      </c>
      <c r="I21" s="39"/>
      <c r="J21" s="91"/>
    </row>
    <row r="22" spans="1:10" ht="12.75" hidden="1">
      <c r="A22" s="75"/>
      <c r="B22" s="20" t="s">
        <v>8</v>
      </c>
      <c r="C22" s="20"/>
      <c r="D22" s="4"/>
      <c r="E22" s="32">
        <f>IF(B80=2,+D22*B84,0)</f>
        <v>0</v>
      </c>
      <c r="F22" s="55"/>
      <c r="G22" s="4"/>
      <c r="H22" s="38">
        <f>IF(B80=2,+G22*B84,0)</f>
        <v>0</v>
      </c>
      <c r="I22" s="39"/>
      <c r="J22" s="91"/>
    </row>
    <row r="23" spans="1:14" ht="12.75">
      <c r="A23" s="75"/>
      <c r="B23" s="26" t="s">
        <v>9</v>
      </c>
      <c r="C23" s="20"/>
      <c r="D23" s="70"/>
      <c r="E23" s="40">
        <f>IF(B80=2,+D23*B84,0)</f>
        <v>0</v>
      </c>
      <c r="F23" s="41"/>
      <c r="G23" s="172"/>
      <c r="H23" s="42">
        <f>IF(B80=2,+G23*B84,0)</f>
        <v>0</v>
      </c>
      <c r="I23" s="39"/>
      <c r="J23" s="88"/>
      <c r="N23" s="164"/>
    </row>
    <row r="24" spans="1:14" ht="13.5" thickBot="1">
      <c r="A24" s="77"/>
      <c r="B24" s="380" t="s">
        <v>10</v>
      </c>
      <c r="C24" s="380"/>
      <c r="D24" s="92">
        <f>IF(B80=2,+D18+D19+D20-D21-D22-D23,0)</f>
        <v>0</v>
      </c>
      <c r="E24" s="92">
        <f>+D24*B84</f>
        <v>0</v>
      </c>
      <c r="F24" s="93" t="s">
        <v>26</v>
      </c>
      <c r="G24" s="94">
        <f>IF(B80=2,+SUM(G19:G23),0)</f>
        <v>0</v>
      </c>
      <c r="H24" s="95">
        <f>IF(B80=2,+SUM(H19:H23),0)</f>
        <v>0</v>
      </c>
      <c r="I24" s="96">
        <f>IF(B82=FALSE,+H24+E18+E19+E20,0)</f>
        <v>0</v>
      </c>
      <c r="J24" s="97">
        <f>+E24</f>
        <v>0</v>
      </c>
      <c r="N24" s="344"/>
    </row>
    <row r="25" spans="1:12" ht="12.75">
      <c r="A25" s="346" t="s">
        <v>130</v>
      </c>
      <c r="B25" s="347"/>
      <c r="C25" s="347"/>
      <c r="D25" s="347" t="s">
        <v>136</v>
      </c>
      <c r="E25" s="347"/>
      <c r="F25" s="348"/>
      <c r="G25" s="348"/>
      <c r="H25" s="348"/>
      <c r="I25" s="73"/>
      <c r="J25" s="74"/>
      <c r="K25" s="123"/>
      <c r="L25" s="124"/>
    </row>
    <row r="26" spans="1:10" ht="20.25" customHeight="1">
      <c r="A26" s="75"/>
      <c r="B26" s="43" t="s">
        <v>28</v>
      </c>
      <c r="C26" s="26"/>
      <c r="D26" s="26"/>
      <c r="E26" s="26"/>
      <c r="F26" s="26" t="s">
        <v>14</v>
      </c>
      <c r="G26" s="26"/>
      <c r="H26" s="26" t="s">
        <v>19</v>
      </c>
      <c r="I26" s="22"/>
      <c r="J26" s="76"/>
    </row>
    <row r="27" spans="1:10" ht="16.5" customHeight="1" thickBot="1">
      <c r="A27" s="77"/>
      <c r="B27" s="78">
        <f>+H16</f>
        <v>0</v>
      </c>
      <c r="C27" s="79"/>
      <c r="D27" s="79"/>
      <c r="E27" s="79"/>
      <c r="F27" s="78">
        <f>+(B27+D27)/21.75</f>
        <v>0</v>
      </c>
      <c r="G27" s="80"/>
      <c r="H27" s="81"/>
      <c r="I27" s="82">
        <f>+F27*H27</f>
        <v>0</v>
      </c>
      <c r="J27" s="83">
        <f>+I27</f>
        <v>0</v>
      </c>
    </row>
    <row r="28" spans="1:12" ht="12.75" hidden="1">
      <c r="A28" s="19"/>
      <c r="B28" s="20"/>
      <c r="C28" s="20"/>
      <c r="D28" s="20"/>
      <c r="E28" s="20"/>
      <c r="F28" s="20"/>
      <c r="G28" s="20"/>
      <c r="H28" s="20"/>
      <c r="I28" s="22"/>
      <c r="J28" s="151"/>
      <c r="K28" s="123"/>
      <c r="L28" s="123"/>
    </row>
    <row r="29" spans="1:12" ht="9.75" customHeight="1" thickBot="1">
      <c r="A29" s="45"/>
      <c r="B29" s="20"/>
      <c r="C29" s="20"/>
      <c r="D29" s="152"/>
      <c r="E29" s="20"/>
      <c r="F29" s="20"/>
      <c r="G29" s="20"/>
      <c r="H29" s="20"/>
      <c r="I29" s="20"/>
      <c r="J29" s="20"/>
      <c r="L29" s="123"/>
    </row>
    <row r="30" spans="1:12" ht="16.5" customHeight="1">
      <c r="A30" s="320" t="s">
        <v>125</v>
      </c>
      <c r="B30" s="158"/>
      <c r="C30" s="158"/>
      <c r="D30" s="158"/>
      <c r="E30" s="158"/>
      <c r="F30" s="173"/>
      <c r="G30" s="173"/>
      <c r="H30" s="173"/>
      <c r="I30" s="162"/>
      <c r="J30" s="160"/>
      <c r="L30" s="123"/>
    </row>
    <row r="31" spans="1:12" ht="30" customHeight="1">
      <c r="A31" s="371" t="s">
        <v>69</v>
      </c>
      <c r="B31" s="372"/>
      <c r="C31" s="324"/>
      <c r="D31" s="375"/>
      <c r="E31" s="375"/>
      <c r="F31" s="220" t="str">
        <f>+IF(L4&gt;0,+L4,"last day worked")</f>
        <v>last day worked</v>
      </c>
      <c r="G31" s="323" t="s">
        <v>46</v>
      </c>
      <c r="H31" s="163">
        <v>0</v>
      </c>
      <c r="I31" s="44"/>
      <c r="J31" s="161"/>
      <c r="L31" s="123"/>
    </row>
    <row r="32" spans="1:12" ht="5.25" customHeight="1">
      <c r="A32" s="373"/>
      <c r="B32" s="374"/>
      <c r="C32" s="43"/>
      <c r="D32" s="26"/>
      <c r="E32" s="26"/>
      <c r="F32" s="26"/>
      <c r="G32" s="26"/>
      <c r="H32" s="26"/>
      <c r="I32" s="22"/>
      <c r="J32" s="100"/>
      <c r="L32" s="123"/>
    </row>
    <row r="33" spans="1:12" ht="3.75" customHeight="1" hidden="1">
      <c r="A33" s="153"/>
      <c r="B33" s="45"/>
      <c r="C33" s="219"/>
      <c r="D33" s="20"/>
      <c r="E33" s="20"/>
      <c r="F33" s="20"/>
      <c r="G33" s="20"/>
      <c r="H33" s="29"/>
      <c r="I33" s="44"/>
      <c r="J33" s="161"/>
      <c r="L33" s="123"/>
    </row>
    <row r="34" spans="1:12" ht="12.75" hidden="1">
      <c r="A34" s="75"/>
      <c r="B34" s="20"/>
      <c r="C34" s="43"/>
      <c r="D34" s="26"/>
      <c r="E34" s="26"/>
      <c r="F34" s="26"/>
      <c r="G34" s="26"/>
      <c r="H34" s="26"/>
      <c r="I34" s="22"/>
      <c r="J34" s="100"/>
      <c r="L34" s="123"/>
    </row>
    <row r="35" spans="1:12" ht="12.75">
      <c r="A35" s="354" t="s">
        <v>126</v>
      </c>
      <c r="B35" s="355"/>
      <c r="C35" s="355"/>
      <c r="D35" s="355"/>
      <c r="E35" s="321" t="str">
        <f>+IF(K4&gt;0,+K4,"last day worked:")</f>
        <v>last day worked:</v>
      </c>
      <c r="F35" s="322"/>
      <c r="G35" s="150" t="s">
        <v>45</v>
      </c>
      <c r="H35" s="154">
        <v>0</v>
      </c>
      <c r="I35" s="34"/>
      <c r="J35" s="88"/>
      <c r="L35" s="123"/>
    </row>
    <row r="36" spans="1:12" ht="17.25" customHeight="1">
      <c r="A36" s="376" t="s">
        <v>129</v>
      </c>
      <c r="B36" s="377"/>
      <c r="C36" s="377"/>
      <c r="D36" s="377"/>
      <c r="E36" s="377"/>
      <c r="F36" s="352" t="s">
        <v>46</v>
      </c>
      <c r="G36" s="352"/>
      <c r="H36" s="3">
        <v>0</v>
      </c>
      <c r="I36" s="159"/>
      <c r="J36" s="88"/>
      <c r="L36" s="123"/>
    </row>
    <row r="37" spans="1:12" ht="16.5" customHeight="1">
      <c r="A37" s="336"/>
      <c r="B37" s="325"/>
      <c r="C37" s="326"/>
      <c r="D37" s="327"/>
      <c r="E37" s="352" t="s">
        <v>50</v>
      </c>
      <c r="F37" s="352"/>
      <c r="G37" s="353"/>
      <c r="H37" s="188">
        <v>0</v>
      </c>
      <c r="I37" s="170"/>
      <c r="J37" s="88"/>
      <c r="L37" s="123"/>
    </row>
    <row r="38" spans="1:12" ht="41.25" customHeight="1">
      <c r="A38" s="336"/>
      <c r="B38" s="328"/>
      <c r="C38" s="329"/>
      <c r="D38" s="330"/>
      <c r="E38" s="190" t="s">
        <v>80</v>
      </c>
      <c r="F38" s="189" t="s">
        <v>79</v>
      </c>
      <c r="G38" s="165"/>
      <c r="H38" s="46" t="s">
        <v>47</v>
      </c>
      <c r="I38" s="34"/>
      <c r="J38" s="88"/>
      <c r="K38" s="186"/>
      <c r="L38" s="123"/>
    </row>
    <row r="39" spans="1:12" ht="21" customHeight="1">
      <c r="A39" s="105"/>
      <c r="B39" s="368" t="s">
        <v>72</v>
      </c>
      <c r="C39" s="369"/>
      <c r="D39" s="370"/>
      <c r="E39" s="199">
        <f>IF(F39=0,0,+H39/F39)</f>
        <v>0</v>
      </c>
      <c r="F39" s="168"/>
      <c r="G39" s="169"/>
      <c r="H39" s="169">
        <f>+F39*(H35*12)+(F39*H36)+F39*(H37/21.75)</f>
        <v>0</v>
      </c>
      <c r="I39" s="34"/>
      <c r="J39" s="185">
        <f>IF(B96=TRUE,IF(H35+H36&gt;0,H39*-1,-H39),0)</f>
        <v>0</v>
      </c>
      <c r="L39" s="123"/>
    </row>
    <row r="40" spans="1:12" ht="12.75">
      <c r="A40" s="105"/>
      <c r="B40" s="367" t="s">
        <v>49</v>
      </c>
      <c r="C40" s="365"/>
      <c r="D40" s="366"/>
      <c r="E40" s="199">
        <f>+E39</f>
        <v>0</v>
      </c>
      <c r="F40" s="9">
        <f>+F39*2</f>
        <v>0</v>
      </c>
      <c r="G40" s="171"/>
      <c r="H40" s="9">
        <f>+H39*2</f>
        <v>0</v>
      </c>
      <c r="I40" s="34"/>
      <c r="J40" s="185">
        <f>IF(B96=TRUE,IF(H35+H36&gt;0,+H40*-1,-H40),0)</f>
        <v>0</v>
      </c>
      <c r="L40" s="123"/>
    </row>
    <row r="41" spans="1:13" ht="12.75">
      <c r="A41" s="105"/>
      <c r="B41" s="364" t="s">
        <v>51</v>
      </c>
      <c r="C41" s="365"/>
      <c r="D41" s="366"/>
      <c r="E41" s="200"/>
      <c r="F41" s="9">
        <f>+D21+G21</f>
        <v>0</v>
      </c>
      <c r="G41" s="9"/>
      <c r="H41" s="9">
        <f>+F41*E41</f>
        <v>0</v>
      </c>
      <c r="I41" s="55"/>
      <c r="J41" s="185">
        <f>IF(B97=TRUE,IF(H35+H36+H37&gt;0,-H41,0),0)</f>
        <v>0</v>
      </c>
      <c r="L41" s="123"/>
      <c r="M41" s="164"/>
    </row>
    <row r="42" spans="1:12" ht="25.5" customHeight="1">
      <c r="A42" s="105"/>
      <c r="B42" s="364" t="s">
        <v>77</v>
      </c>
      <c r="C42" s="365"/>
      <c r="D42" s="366"/>
      <c r="E42" s="200"/>
      <c r="F42" s="9">
        <f>+D23+G23</f>
        <v>0</v>
      </c>
      <c r="G42" s="9"/>
      <c r="H42" s="167">
        <f>+E42*F42</f>
        <v>0</v>
      </c>
      <c r="I42" s="47"/>
      <c r="J42" s="185">
        <f>IF(B98=TRUE,-H42,0)</f>
        <v>0</v>
      </c>
      <c r="L42" s="123"/>
    </row>
    <row r="43" spans="1:12" ht="15.75" customHeight="1" thickBot="1">
      <c r="A43" s="106"/>
      <c r="B43" s="107"/>
      <c r="C43" s="107"/>
      <c r="D43" s="107"/>
      <c r="E43" s="107"/>
      <c r="F43" s="108"/>
      <c r="G43" s="107"/>
      <c r="H43" s="177" t="s">
        <v>114</v>
      </c>
      <c r="I43" s="109"/>
      <c r="J43" s="187">
        <f>SUM(J39:J42)</f>
        <v>0</v>
      </c>
      <c r="L43" s="123"/>
    </row>
    <row r="44" spans="1:12" ht="13.5" thickBot="1">
      <c r="A44" s="209" t="s">
        <v>113</v>
      </c>
      <c r="B44" s="208"/>
      <c r="C44" s="208"/>
      <c r="D44" s="208"/>
      <c r="E44" s="208"/>
      <c r="F44" s="208"/>
      <c r="G44" s="222" t="s">
        <v>110</v>
      </c>
      <c r="H44" s="223">
        <v>0</v>
      </c>
      <c r="I44" s="221"/>
      <c r="J44" s="224">
        <f>-H44</f>
        <v>0</v>
      </c>
      <c r="L44" s="123"/>
    </row>
    <row r="45" spans="1:12" ht="21.75" customHeight="1" thickBot="1">
      <c r="A45" s="51" t="s">
        <v>140</v>
      </c>
      <c r="B45" s="48"/>
      <c r="C45" s="48"/>
      <c r="D45" s="48"/>
      <c r="E45" s="48"/>
      <c r="F45" s="48"/>
      <c r="G45" s="48"/>
      <c r="H45" s="48"/>
      <c r="I45" s="49">
        <f>+I16+I24</f>
        <v>0</v>
      </c>
      <c r="J45" s="2"/>
      <c r="L45" s="123"/>
    </row>
    <row r="46" spans="1:12" ht="21" customHeight="1" thickBot="1" thickTop="1">
      <c r="A46" s="360" t="s">
        <v>138</v>
      </c>
      <c r="B46" s="361"/>
      <c r="C46" s="361"/>
      <c r="D46" s="361"/>
      <c r="E46" s="361"/>
      <c r="F46" s="361"/>
      <c r="G46" s="361"/>
      <c r="H46" s="361"/>
      <c r="I46" s="361"/>
      <c r="J46" s="351">
        <f>+J16+J24+J43+J44</f>
        <v>0</v>
      </c>
      <c r="K46" s="186"/>
      <c r="L46" s="123"/>
    </row>
    <row r="47" spans="1:12" ht="14.25" customHeight="1">
      <c r="A47" s="360" t="s">
        <v>139</v>
      </c>
      <c r="B47" s="361"/>
      <c r="C47" s="361"/>
      <c r="D47" s="361"/>
      <c r="E47" s="361"/>
      <c r="F47" s="361"/>
      <c r="G47" s="361"/>
      <c r="H47" s="361"/>
      <c r="I47" s="361"/>
      <c r="J47" s="349">
        <f>+IF(H27&gt;0,+J27,+J27)</f>
        <v>0</v>
      </c>
      <c r="K47" s="123"/>
      <c r="L47" s="123"/>
    </row>
    <row r="48" spans="1:10" ht="18" customHeight="1" thickBot="1">
      <c r="A48" s="357" t="str">
        <f>IF(+I4="","UN EXCHHANGE RATE TO USD on the Last day of active service:",+I4)</f>
        <v>UN EXCHHANGE RATE TO USD on the Last day of active service:</v>
      </c>
      <c r="B48" s="357"/>
      <c r="C48" s="357"/>
      <c r="D48" s="357"/>
      <c r="E48" s="357"/>
      <c r="F48" s="51"/>
      <c r="G48" s="201">
        <v>1</v>
      </c>
      <c r="H48" s="51"/>
      <c r="I48" s="202" t="s">
        <v>137</v>
      </c>
      <c r="J48" s="350">
        <f>+IF(H27&gt;0,+J46+J47,+J46)</f>
        <v>0</v>
      </c>
    </row>
    <row r="49" spans="1:17" s="203" customFormat="1" ht="14.25" thickBot="1" thickTop="1">
      <c r="A49" s="48"/>
      <c r="B49" s="48"/>
      <c r="C49" s="48"/>
      <c r="D49" s="48"/>
      <c r="E49" s="48"/>
      <c r="F49" s="48"/>
      <c r="G49" s="48"/>
      <c r="H49" s="48"/>
      <c r="I49" s="50"/>
      <c r="J49" s="345"/>
      <c r="K49" s="149"/>
      <c r="L49" s="149"/>
      <c r="M49" s="340"/>
      <c r="N49" s="340"/>
      <c r="O49" s="340"/>
      <c r="P49" s="340"/>
      <c r="Q49" s="341"/>
    </row>
    <row r="50" spans="1:17" ht="15.75" customHeight="1">
      <c r="A50" s="111"/>
      <c r="B50" s="358" t="str">
        <f>+IF(D12=0,"FUNDING SOURCE OF ALL POSITIONS STAFF MEMBER HAS WORKED ON:",+IF(D12&gt;14,"FUNDING SOURCE OF ALL POSITIONS STAFF MEMBER HAS WORKED ON DURING","FUNDING SOURCE OF ALL POSITIONS STAFF MEMBER HAS WORKED ON SINCE:"))</f>
        <v>FUNDING SOURCE OF ALL POSITIONS STAFF MEMBER HAS WORKED ON:</v>
      </c>
      <c r="C50" s="359"/>
      <c r="D50" s="359"/>
      <c r="E50" s="359"/>
      <c r="F50" s="339">
        <f>+IF(I3="","",+IF(D12&gt;14," PAST 15 YEARS OF CONTINUOUSE SERVICE",+I3))</f>
      </c>
      <c r="G50" s="72"/>
      <c r="H50" s="72"/>
      <c r="I50" s="118"/>
      <c r="J50" s="2"/>
      <c r="M50" s="45"/>
      <c r="N50" s="343"/>
      <c r="O50" s="11"/>
      <c r="P50" s="11"/>
      <c r="Q50" s="55"/>
    </row>
    <row r="51" spans="1:16" ht="60.75" customHeight="1">
      <c r="A51" s="75"/>
      <c r="B51" s="411" t="s">
        <v>133</v>
      </c>
      <c r="C51" s="412"/>
      <c r="D51" s="338" t="s">
        <v>134</v>
      </c>
      <c r="E51" s="112" t="s">
        <v>60</v>
      </c>
      <c r="F51" s="113">
        <f>+IF(B92=TRUE,"80% advance on entitlement","")</f>
      </c>
      <c r="G51" s="113">
        <f>+IF(B92=TRUE,"20% balance due at end of SLWOP","")</f>
      </c>
      <c r="H51" s="112" t="s">
        <v>60</v>
      </c>
      <c r="I51" s="119" t="s">
        <v>61</v>
      </c>
      <c r="J51" s="117"/>
      <c r="N51" s="342"/>
      <c r="P51" s="342"/>
    </row>
    <row r="52" spans="1:10" ht="21.75" customHeight="1">
      <c r="A52" s="75">
        <v>1</v>
      </c>
      <c r="B52" s="334" t="s">
        <v>131</v>
      </c>
      <c r="C52" s="181"/>
      <c r="D52" s="179">
        <v>1</v>
      </c>
      <c r="E52" s="116">
        <f>+IF(D53&gt;0.19999,D52*I45,(D52+D53)*I45)</f>
        <v>0</v>
      </c>
      <c r="F52" s="116">
        <f>+E52*0.8</f>
        <v>0</v>
      </c>
      <c r="G52" s="116">
        <f>+E52*0.2</f>
        <v>0</v>
      </c>
      <c r="H52" s="9">
        <f aca="true" t="shared" si="0" ref="H52:H57">+G52+F52</f>
        <v>0</v>
      </c>
      <c r="I52" s="120">
        <f>+IF(D52="","",+H52/G$48)</f>
        <v>0</v>
      </c>
      <c r="J52" s="11"/>
    </row>
    <row r="53" spans="1:16" ht="12.75">
      <c r="A53" s="75">
        <v>2</v>
      </c>
      <c r="B53" s="335" t="s">
        <v>132</v>
      </c>
      <c r="C53" s="180"/>
      <c r="D53" s="115"/>
      <c r="E53" s="116">
        <f>+IF(D53&gt;0.199999,D53*I45,0)</f>
        <v>0</v>
      </c>
      <c r="F53" s="116">
        <f>+E53*0.8</f>
        <v>0</v>
      </c>
      <c r="G53" s="116">
        <f>+E53*0.2</f>
        <v>0</v>
      </c>
      <c r="H53" s="9">
        <f t="shared" si="0"/>
        <v>0</v>
      </c>
      <c r="I53" s="120">
        <f>+IF(D53="","",+H53/G$48)</f>
      </c>
      <c r="J53" s="11"/>
      <c r="P53" s="13"/>
    </row>
    <row r="54" spans="1:16" ht="12.75">
      <c r="A54" s="75">
        <v>3</v>
      </c>
      <c r="B54" s="356" t="s">
        <v>122</v>
      </c>
      <c r="C54" s="356"/>
      <c r="D54" s="115"/>
      <c r="E54" s="116">
        <f>+D54*I45</f>
        <v>0</v>
      </c>
      <c r="F54" s="116">
        <f>+E54*0.8</f>
        <v>0</v>
      </c>
      <c r="G54" s="116">
        <f>+E54*0.2</f>
        <v>0</v>
      </c>
      <c r="H54" s="9">
        <f t="shared" si="0"/>
        <v>0</v>
      </c>
      <c r="I54" s="120">
        <f>+IF(D54="","",+H54/G$48)</f>
      </c>
      <c r="J54" s="11"/>
      <c r="P54" s="13"/>
    </row>
    <row r="55" spans="1:16" ht="12.75">
      <c r="A55" s="75">
        <v>4</v>
      </c>
      <c r="B55" s="356"/>
      <c r="C55" s="356"/>
      <c r="D55" s="115"/>
      <c r="E55" s="116">
        <f>+D55*I45</f>
        <v>0</v>
      </c>
      <c r="F55" s="116">
        <f>+E55*0.8</f>
        <v>0</v>
      </c>
      <c r="G55" s="116">
        <f>+E55*0.2</f>
        <v>0</v>
      </c>
      <c r="H55" s="9">
        <f t="shared" si="0"/>
        <v>0</v>
      </c>
      <c r="I55" s="120">
        <f>+IF(D55="","",+H55/G$48)</f>
      </c>
      <c r="J55" s="11"/>
      <c r="P55" s="13"/>
    </row>
    <row r="56" spans="1:16" ht="12.75">
      <c r="A56" s="75">
        <v>5</v>
      </c>
      <c r="B56" s="356"/>
      <c r="C56" s="356"/>
      <c r="D56" s="115"/>
      <c r="E56" s="110">
        <f>+D56*I45</f>
        <v>0</v>
      </c>
      <c r="F56" s="110">
        <f>+E56*0.8</f>
        <v>0</v>
      </c>
      <c r="G56" s="110">
        <f>+E56*0.2</f>
        <v>0</v>
      </c>
      <c r="H56" s="9">
        <f t="shared" si="0"/>
        <v>0</v>
      </c>
      <c r="I56" s="120">
        <f>+IF(D56="","",+H56/G$48)</f>
      </c>
      <c r="J56" s="11"/>
      <c r="P56" s="13"/>
    </row>
    <row r="57" spans="1:16" ht="13.5" thickBot="1">
      <c r="A57" s="77"/>
      <c r="B57" s="410" t="s">
        <v>62</v>
      </c>
      <c r="C57" s="410"/>
      <c r="D57" s="114">
        <f>+SUM(D52:D56)</f>
        <v>1</v>
      </c>
      <c r="E57" s="121">
        <f>+E56+E55+E54+E53+E52</f>
        <v>0</v>
      </c>
      <c r="F57" s="121">
        <f>+SUM(F52:F56)</f>
        <v>0</v>
      </c>
      <c r="G57" s="121">
        <f>+SUM(G52:G56)</f>
        <v>0</v>
      </c>
      <c r="H57" s="121">
        <f t="shared" si="0"/>
        <v>0</v>
      </c>
      <c r="I57" s="178">
        <f>+IF(D57=0,"",+H57/G$48)</f>
        <v>0</v>
      </c>
      <c r="J57" s="2"/>
      <c r="P57" s="13"/>
    </row>
    <row r="58" spans="1:10" ht="6.75" customHeight="1" thickBot="1">
      <c r="A58" s="20"/>
      <c r="B58" s="262"/>
      <c r="C58" s="262"/>
      <c r="D58" s="263"/>
      <c r="E58" s="264"/>
      <c r="F58" s="264"/>
      <c r="G58" s="264"/>
      <c r="H58" s="264"/>
      <c r="I58" s="265"/>
      <c r="J58" s="2"/>
    </row>
    <row r="59" spans="1:10" ht="15" customHeight="1">
      <c r="A59" s="424" t="s">
        <v>121</v>
      </c>
      <c r="B59" s="425"/>
      <c r="C59" s="426"/>
      <c r="D59" s="413" t="s">
        <v>119</v>
      </c>
      <c r="E59" s="414"/>
      <c r="F59" s="413" t="s">
        <v>120</v>
      </c>
      <c r="G59" s="413"/>
      <c r="H59" s="427"/>
      <c r="I59" s="305" t="s">
        <v>118</v>
      </c>
      <c r="J59" s="50"/>
    </row>
    <row r="60" spans="1:10" ht="24.75" customHeight="1">
      <c r="A60" s="430" t="s">
        <v>135</v>
      </c>
      <c r="B60" s="431"/>
      <c r="C60" s="432"/>
      <c r="D60" s="415"/>
      <c r="E60" s="415"/>
      <c r="F60" s="428"/>
      <c r="G60" s="428"/>
      <c r="H60" s="415"/>
      <c r="I60" s="254"/>
      <c r="J60" s="50"/>
    </row>
    <row r="61" spans="1:10" ht="25.5" customHeight="1" hidden="1">
      <c r="A61" s="416"/>
      <c r="B61" s="417"/>
      <c r="C61" s="418"/>
      <c r="D61" s="419"/>
      <c r="E61" s="420"/>
      <c r="F61" s="421"/>
      <c r="G61" s="422"/>
      <c r="H61" s="423"/>
      <c r="I61" s="254"/>
      <c r="J61" s="50"/>
    </row>
    <row r="62" spans="1:10" ht="24" customHeight="1" hidden="1">
      <c r="A62" s="296"/>
      <c r="B62" s="266"/>
      <c r="C62" s="266"/>
      <c r="D62" s="266"/>
      <c r="E62" s="266"/>
      <c r="F62" s="110"/>
      <c r="G62" s="110"/>
      <c r="H62" s="110"/>
      <c r="I62" s="254"/>
      <c r="J62" s="50"/>
    </row>
    <row r="63" spans="1:12" ht="12.75" hidden="1">
      <c r="A63" s="297"/>
      <c r="B63" s="298"/>
      <c r="C63" s="298"/>
      <c r="D63" s="52"/>
      <c r="E63" s="52"/>
      <c r="F63" s="59"/>
      <c r="G63" s="59"/>
      <c r="H63" s="59"/>
      <c r="I63" s="255"/>
      <c r="L63" s="149"/>
    </row>
    <row r="64" spans="1:9" ht="12.75" hidden="1">
      <c r="A64" s="297"/>
      <c r="B64" s="298"/>
      <c r="C64" s="298"/>
      <c r="D64" s="52"/>
      <c r="E64" s="52"/>
      <c r="F64" s="59"/>
      <c r="G64" s="59" t="s">
        <v>57</v>
      </c>
      <c r="H64" s="53">
        <f>+I5</f>
        <v>0</v>
      </c>
      <c r="I64" s="255"/>
    </row>
    <row r="65" spans="1:18" ht="26.25" hidden="1" thickBot="1">
      <c r="A65" s="297"/>
      <c r="B65" s="298"/>
      <c r="C65" s="298"/>
      <c r="D65" s="52"/>
      <c r="E65" s="52"/>
      <c r="F65" s="59"/>
      <c r="G65" s="52" t="s">
        <v>56</v>
      </c>
      <c r="H65" s="53">
        <f>+I5+1</f>
        <v>1</v>
      </c>
      <c r="I65" s="255"/>
      <c r="M65" s="61"/>
      <c r="N65" s="14"/>
      <c r="O65" s="192"/>
      <c r="P65" s="14"/>
      <c r="Q65" s="54"/>
      <c r="R65" s="122"/>
    </row>
    <row r="66" spans="1:18" ht="26.25" hidden="1" thickBot="1">
      <c r="A66" s="297"/>
      <c r="B66" s="298" t="s">
        <v>32</v>
      </c>
      <c r="C66" s="298"/>
      <c r="D66" s="52"/>
      <c r="E66" s="58"/>
      <c r="F66" s="63"/>
      <c r="G66" s="59"/>
      <c r="H66" s="59"/>
      <c r="I66" s="256" t="s">
        <v>37</v>
      </c>
      <c r="J66" s="285"/>
      <c r="M66" s="61"/>
      <c r="N66" s="14"/>
      <c r="O66" s="192"/>
      <c r="P66" s="14"/>
      <c r="Q66" s="54"/>
      <c r="R66" s="54"/>
    </row>
    <row r="67" spans="1:18" ht="25.5" hidden="1">
      <c r="A67" s="297"/>
      <c r="B67" s="298" t="s">
        <v>30</v>
      </c>
      <c r="C67" s="298" t="s">
        <v>31</v>
      </c>
      <c r="D67" s="52"/>
      <c r="E67" s="58"/>
      <c r="F67" s="274"/>
      <c r="G67" s="58"/>
      <c r="H67" s="59"/>
      <c r="I67" s="255" t="s">
        <v>35</v>
      </c>
      <c r="J67" s="288" t="s">
        <v>24</v>
      </c>
      <c r="K67" s="125"/>
      <c r="L67" s="126"/>
      <c r="M67" s="61"/>
      <c r="N67" s="69"/>
      <c r="O67" s="54"/>
      <c r="P67" s="14"/>
      <c r="Q67" s="14"/>
      <c r="R67" s="54"/>
    </row>
    <row r="68" spans="1:18" ht="12.75" hidden="1">
      <c r="A68" s="297"/>
      <c r="B68" s="298">
        <v>5</v>
      </c>
      <c r="C68" s="298">
        <v>5</v>
      </c>
      <c r="D68" s="52"/>
      <c r="E68" s="58"/>
      <c r="F68" s="274"/>
      <c r="G68" s="63"/>
      <c r="H68" s="59"/>
      <c r="I68" s="292">
        <f>+DAY(H65)-DAY(I3)</f>
        <v>1</v>
      </c>
      <c r="J68" s="278">
        <f>+MONTH(H65)-MONTH(I3)+IF(MONTH(H65)-MONTH(I3)&gt;MONTH(H65)-MONTH(I3),1,0)</f>
        <v>0</v>
      </c>
      <c r="K68" s="57" t="s">
        <v>23</v>
      </c>
      <c r="L68" s="127"/>
      <c r="M68" s="61"/>
      <c r="N68" s="193"/>
      <c r="O68" s="14"/>
      <c r="P68" s="14"/>
      <c r="Q68" s="194"/>
      <c r="R68" s="54"/>
    </row>
    <row r="69" spans="1:18" ht="12.75" hidden="1">
      <c r="A69" s="297"/>
      <c r="B69" s="298">
        <v>6</v>
      </c>
      <c r="C69" s="298">
        <v>6</v>
      </c>
      <c r="D69" s="52"/>
      <c r="E69" s="58"/>
      <c r="F69" s="57"/>
      <c r="G69" s="63"/>
      <c r="H69" s="59"/>
      <c r="I69" s="255"/>
      <c r="J69" s="289">
        <f>+IF(I68&lt;0,J68-1,J68)</f>
        <v>0</v>
      </c>
      <c r="K69" s="128">
        <f>+YEAR(H65)-YEAR(I3)</f>
        <v>0</v>
      </c>
      <c r="L69" s="129"/>
      <c r="M69" s="61"/>
      <c r="N69" s="15"/>
      <c r="O69" s="15"/>
      <c r="P69" s="195"/>
      <c r="Q69" s="196"/>
      <c r="R69" s="54"/>
    </row>
    <row r="70" spans="1:18" ht="12.75" hidden="1">
      <c r="A70" s="297"/>
      <c r="B70" s="298">
        <v>7</v>
      </c>
      <c r="C70" s="298">
        <v>7</v>
      </c>
      <c r="D70" s="52"/>
      <c r="E70" s="58"/>
      <c r="F70" s="144"/>
      <c r="G70" s="67"/>
      <c r="H70" s="59"/>
      <c r="I70" s="255"/>
      <c r="J70" s="289">
        <f>+IF(J69&lt;0,12+J69,J69)</f>
        <v>0</v>
      </c>
      <c r="K70" s="57">
        <f>INT(+K69+(J69/12))</f>
        <v>0</v>
      </c>
      <c r="L70" s="130"/>
      <c r="M70" s="61"/>
      <c r="N70" s="54"/>
      <c r="O70" s="14"/>
      <c r="P70" s="14"/>
      <c r="Q70" s="14"/>
      <c r="R70" s="54"/>
    </row>
    <row r="71" spans="1:18" ht="13.5" hidden="1" thickBot="1">
      <c r="A71" s="297"/>
      <c r="B71" s="298">
        <v>8</v>
      </c>
      <c r="C71" s="298">
        <v>8</v>
      </c>
      <c r="D71" s="52"/>
      <c r="E71" s="58"/>
      <c r="F71" s="275"/>
      <c r="G71" s="63"/>
      <c r="H71" s="59"/>
      <c r="I71" s="256" t="s">
        <v>48</v>
      </c>
      <c r="J71" s="279">
        <f>+J70</f>
        <v>0</v>
      </c>
      <c r="K71" s="57"/>
      <c r="L71" s="127"/>
      <c r="M71" s="61"/>
      <c r="N71" s="54"/>
      <c r="O71" s="14"/>
      <c r="P71" s="14"/>
      <c r="Q71" s="14"/>
      <c r="R71" s="54"/>
    </row>
    <row r="72" spans="1:18" ht="13.5" hidden="1" thickBot="1">
      <c r="A72" s="297"/>
      <c r="B72" s="298">
        <v>9</v>
      </c>
      <c r="C72" s="298">
        <v>9</v>
      </c>
      <c r="D72" s="52"/>
      <c r="E72" s="58"/>
      <c r="F72" s="58"/>
      <c r="G72" s="67"/>
      <c r="H72" s="59"/>
      <c r="I72" s="293" t="s">
        <v>64</v>
      </c>
      <c r="J72" s="290">
        <f>-H36</f>
        <v>0</v>
      </c>
      <c r="K72" s="131">
        <f>+K70</f>
        <v>0</v>
      </c>
      <c r="L72" s="132"/>
      <c r="M72" s="61"/>
      <c r="N72" s="54"/>
      <c r="O72" s="14"/>
      <c r="P72" s="14"/>
      <c r="Q72" s="14"/>
      <c r="R72" s="54"/>
    </row>
    <row r="73" spans="1:18" ht="13.5" hidden="1" thickBot="1">
      <c r="A73" s="297"/>
      <c r="B73" s="298">
        <v>10</v>
      </c>
      <c r="C73" s="298">
        <v>9.5</v>
      </c>
      <c r="D73" s="52"/>
      <c r="E73" s="58"/>
      <c r="F73" s="58"/>
      <c r="G73" s="63"/>
      <c r="H73" s="59"/>
      <c r="I73" s="293" t="s">
        <v>47</v>
      </c>
      <c r="J73" s="280">
        <f>IF(J71=12,0,IF(J72+J71&gt;0,J72+J71,IF(J72+J71=0,0,12+J72+J71)))</f>
        <v>0</v>
      </c>
      <c r="K73" s="133">
        <f>-H35</f>
        <v>0</v>
      </c>
      <c r="L73" s="134"/>
      <c r="M73" s="61"/>
      <c r="N73" s="54"/>
      <c r="O73" s="14"/>
      <c r="P73" s="14"/>
      <c r="Q73" s="14"/>
      <c r="R73" s="54"/>
    </row>
    <row r="74" spans="1:18" ht="13.5" hidden="1" thickBot="1">
      <c r="A74" s="297"/>
      <c r="B74" s="298">
        <v>11</v>
      </c>
      <c r="C74" s="298">
        <v>10</v>
      </c>
      <c r="D74" s="52"/>
      <c r="E74" s="58"/>
      <c r="F74" s="58"/>
      <c r="G74" s="276"/>
      <c r="H74" s="59"/>
      <c r="I74" s="294" t="s">
        <v>65</v>
      </c>
      <c r="J74" s="291">
        <f>IF(H31&gt;11,-(H31-INT(H31/12)*12),-H31)</f>
        <v>0</v>
      </c>
      <c r="K74" s="133">
        <f>IF(J72+J71&lt;0,-1+K73+K72,IF(J72+J71&lt;0,0,+K73+K72))</f>
        <v>0</v>
      </c>
      <c r="L74" s="134"/>
      <c r="M74" s="61"/>
      <c r="N74" s="197"/>
      <c r="O74" s="69"/>
      <c r="P74" s="198"/>
      <c r="Q74" s="69"/>
      <c r="R74" s="54"/>
    </row>
    <row r="75" spans="1:18" ht="13.5" hidden="1" thickBot="1">
      <c r="A75" s="297"/>
      <c r="B75" s="298">
        <v>12</v>
      </c>
      <c r="C75" s="298">
        <v>10.5</v>
      </c>
      <c r="D75" s="52"/>
      <c r="E75" s="58"/>
      <c r="F75" s="58"/>
      <c r="G75" s="56"/>
      <c r="H75" s="59"/>
      <c r="I75" s="294" t="s">
        <v>47</v>
      </c>
      <c r="J75" s="281">
        <f>IF(J73=12,0,IF(J74+J73&gt;0,J74+J73,IF(J74+J73=0,0,12+J74+J73)))</f>
        <v>0</v>
      </c>
      <c r="K75" s="155">
        <f>-INT(H31/12)</f>
        <v>0</v>
      </c>
      <c r="L75" s="157"/>
      <c r="M75" s="61"/>
      <c r="N75" s="14"/>
      <c r="O75" s="14"/>
      <c r="P75" s="14"/>
      <c r="Q75" s="54"/>
      <c r="R75" s="54"/>
    </row>
    <row r="76" spans="1:18" ht="13.5" hidden="1" thickBot="1">
      <c r="A76" s="297"/>
      <c r="B76" s="299">
        <v>13</v>
      </c>
      <c r="C76" s="298">
        <v>11</v>
      </c>
      <c r="D76" s="52"/>
      <c r="E76" s="58"/>
      <c r="F76" s="63"/>
      <c r="G76" s="59"/>
      <c r="H76" s="59"/>
      <c r="I76" s="293" t="s">
        <v>36</v>
      </c>
      <c r="J76" s="282">
        <f>IF(K76&gt;4,+IF(AND(J75&gt;0,K76&lt;15),(((-VLOOKUP(K76,B68:C78,2)+VLOOKUP(K76+1,B68:C78,2))/12)*J75),0),0)</f>
        <v>0</v>
      </c>
      <c r="K76" s="156">
        <f>IF(J74+J73&lt;0,-1+K75+K74,IF(J74+J73&lt;0,0,+K75+K74))</f>
        <v>0</v>
      </c>
      <c r="L76" s="157"/>
      <c r="M76" s="191"/>
      <c r="N76" s="14"/>
      <c r="O76" s="14"/>
      <c r="P76" s="14"/>
      <c r="Q76" s="54"/>
      <c r="R76" s="54"/>
    </row>
    <row r="77" spans="1:18" ht="13.5" hidden="1" thickBot="1">
      <c r="A77" s="297"/>
      <c r="B77" s="299">
        <v>14</v>
      </c>
      <c r="C77" s="298">
        <v>11.5</v>
      </c>
      <c r="D77" s="52"/>
      <c r="E77" s="58"/>
      <c r="F77" s="63"/>
      <c r="G77" s="64"/>
      <c r="H77" s="59"/>
      <c r="I77" s="256"/>
      <c r="J77" s="283"/>
      <c r="K77" s="135">
        <f>+IF(AND(K76&gt;4,K76&lt;16),+VLOOKUP(K76,B68:C78,2),IF(K76&lt;5,0,C78))</f>
        <v>0</v>
      </c>
      <c r="L77" s="136">
        <f>+K77+J76</f>
        <v>0</v>
      </c>
      <c r="M77" s="191"/>
      <c r="N77" s="14"/>
      <c r="O77" s="14"/>
      <c r="P77" s="14"/>
      <c r="Q77" s="54"/>
      <c r="R77" s="54"/>
    </row>
    <row r="78" spans="1:18" ht="13.5" hidden="1" thickBot="1">
      <c r="A78" s="297"/>
      <c r="B78" s="299">
        <v>15</v>
      </c>
      <c r="C78" s="298">
        <v>12</v>
      </c>
      <c r="D78" s="52"/>
      <c r="E78" s="58"/>
      <c r="F78" s="63"/>
      <c r="G78" s="59"/>
      <c r="H78" s="59"/>
      <c r="I78" s="256" t="s">
        <v>55</v>
      </c>
      <c r="J78" s="284"/>
      <c r="K78" s="133"/>
      <c r="L78" s="137"/>
      <c r="M78" s="191"/>
      <c r="N78" s="14"/>
      <c r="O78" s="14"/>
      <c r="P78" s="14"/>
      <c r="Q78" s="54"/>
      <c r="R78" s="54"/>
    </row>
    <row r="79" spans="1:37" ht="13.5" hidden="1" thickBot="1">
      <c r="A79" s="297"/>
      <c r="B79" s="298"/>
      <c r="C79" s="298"/>
      <c r="D79" s="52"/>
      <c r="E79" s="58"/>
      <c r="F79" s="63"/>
      <c r="G79" s="53"/>
      <c r="H79" s="59"/>
      <c r="I79" s="256"/>
      <c r="J79" s="60"/>
      <c r="K79" s="138"/>
      <c r="L79" s="139">
        <f>IF(B81=TRUE,D14*0.5,0)</f>
        <v>0</v>
      </c>
      <c r="M79" s="61"/>
      <c r="R79" s="54"/>
      <c r="S79" s="62"/>
      <c r="T79" s="62"/>
      <c r="U79" s="62"/>
      <c r="V79" s="62"/>
      <c r="W79" s="62"/>
      <c r="X79" s="62"/>
      <c r="Y79" s="62"/>
      <c r="Z79" s="62"/>
      <c r="AA79" s="62"/>
      <c r="AB79" s="62"/>
      <c r="AC79" s="62"/>
      <c r="AD79" s="62"/>
      <c r="AE79" s="62"/>
      <c r="AF79" s="62"/>
      <c r="AG79" s="62"/>
      <c r="AH79" s="62"/>
      <c r="AI79" s="62"/>
      <c r="AJ79" s="62"/>
      <c r="AK79" s="62"/>
    </row>
    <row r="80" spans="1:37" ht="77.25" hidden="1" thickBot="1">
      <c r="A80" s="297"/>
      <c r="B80" s="299">
        <f>+IF(B83=2,B83,1)</f>
        <v>1</v>
      </c>
      <c r="C80" s="298" t="str">
        <f>IF(B80=2,"cash in lieu of notice ok with retirement(2)","no cash in lieu of notice, due to retirement age(1)")</f>
        <v>no cash in lieu of notice, due to retirement age(1)</v>
      </c>
      <c r="D80" s="52"/>
      <c r="E80" s="52"/>
      <c r="F80" s="59"/>
      <c r="G80" s="59"/>
      <c r="H80" s="59"/>
      <c r="I80" s="255"/>
      <c r="K80" s="140" t="s">
        <v>26</v>
      </c>
      <c r="L80" s="141">
        <f>+L77+L79</f>
        <v>0</v>
      </c>
      <c r="M80" s="61"/>
      <c r="Q80" s="54"/>
      <c r="R80" s="54"/>
      <c r="S80" s="62"/>
      <c r="T80" s="62"/>
      <c r="U80" s="62"/>
      <c r="V80" s="62"/>
      <c r="W80" s="62"/>
      <c r="X80" s="62"/>
      <c r="Y80" s="62"/>
      <c r="Z80" s="62"/>
      <c r="AA80" s="62"/>
      <c r="AB80" s="62"/>
      <c r="AC80" s="62"/>
      <c r="AD80" s="62"/>
      <c r="AE80" s="62"/>
      <c r="AF80" s="62"/>
      <c r="AG80" s="62"/>
      <c r="AH80" s="62"/>
      <c r="AI80" s="62"/>
      <c r="AJ80" s="62"/>
      <c r="AK80" s="62"/>
    </row>
    <row r="81" spans="1:37" ht="51.75" hidden="1" thickBot="1">
      <c r="A81" s="297"/>
      <c r="B81" s="300" t="b">
        <v>0</v>
      </c>
      <c r="C81" s="298" t="s">
        <v>33</v>
      </c>
      <c r="D81" s="52"/>
      <c r="E81" s="52"/>
      <c r="F81" s="59"/>
      <c r="G81" s="53"/>
      <c r="H81" s="59"/>
      <c r="I81" s="255" t="s">
        <v>38</v>
      </c>
      <c r="J81" s="285"/>
      <c r="M81" s="61"/>
      <c r="N81" s="61"/>
      <c r="O81" s="14"/>
      <c r="P81" s="14"/>
      <c r="Q81" s="54"/>
      <c r="R81" s="54"/>
      <c r="S81" s="62"/>
      <c r="T81" s="62"/>
      <c r="U81" s="62"/>
      <c r="V81" s="62"/>
      <c r="W81" s="62"/>
      <c r="X81" s="62"/>
      <c r="Y81" s="62"/>
      <c r="Z81" s="62"/>
      <c r="AA81" s="62"/>
      <c r="AB81" s="62"/>
      <c r="AC81" s="62"/>
      <c r="AD81" s="62"/>
      <c r="AE81" s="62"/>
      <c r="AF81" s="62"/>
      <c r="AG81" s="62"/>
      <c r="AH81" s="62"/>
      <c r="AI81" s="62"/>
      <c r="AJ81" s="62"/>
      <c r="AK81" s="62"/>
    </row>
    <row r="82" spans="1:37" ht="63.75" hidden="1">
      <c r="A82" s="297">
        <v>1</v>
      </c>
      <c r="B82" s="301" t="b">
        <v>0</v>
      </c>
      <c r="C82" s="298" t="s">
        <v>54</v>
      </c>
      <c r="D82" s="52"/>
      <c r="E82" s="52"/>
      <c r="F82" s="59"/>
      <c r="G82" s="53"/>
      <c r="H82" s="59"/>
      <c r="I82" s="256" t="s">
        <v>39</v>
      </c>
      <c r="J82" s="286"/>
      <c r="K82" s="125"/>
      <c r="L82" s="126"/>
      <c r="M82" s="61"/>
      <c r="N82" s="61"/>
      <c r="O82" s="14"/>
      <c r="P82" s="14"/>
      <c r="Q82" s="54"/>
      <c r="R82" s="54"/>
      <c r="S82" s="62"/>
      <c r="T82" s="62"/>
      <c r="U82" s="62"/>
      <c r="V82" s="62"/>
      <c r="W82" s="62"/>
      <c r="X82" s="62"/>
      <c r="Y82" s="62"/>
      <c r="Z82" s="62"/>
      <c r="AA82" s="62"/>
      <c r="AB82" s="62"/>
      <c r="AC82" s="62"/>
      <c r="AD82" s="62"/>
      <c r="AE82" s="62"/>
      <c r="AF82" s="62"/>
      <c r="AG82" s="62"/>
      <c r="AH82" s="62"/>
      <c r="AI82" s="62"/>
      <c r="AJ82" s="62"/>
      <c r="AK82" s="62"/>
    </row>
    <row r="83" spans="1:37" ht="63.75" hidden="1">
      <c r="A83" s="302">
        <v>1</v>
      </c>
      <c r="B83" s="301">
        <f>+A83</f>
        <v>1</v>
      </c>
      <c r="C83" s="298" t="str">
        <f>IF(B83=2,"cash in lieu of notice box checked","cash in lieu of notice box NOT selected")</f>
        <v>cash in lieu of notice box NOT selected</v>
      </c>
      <c r="D83" s="52"/>
      <c r="E83" s="52"/>
      <c r="F83" s="59"/>
      <c r="G83" s="53"/>
      <c r="H83" s="59"/>
      <c r="I83" s="255" t="s">
        <v>35</v>
      </c>
      <c r="J83" s="288" t="s">
        <v>24</v>
      </c>
      <c r="K83" s="142">
        <f>+DATE(YEAR(I7)+I8,MONTH(I7),DAY(I7))</f>
        <v>21915</v>
      </c>
      <c r="L83" s="143"/>
      <c r="M83" s="61"/>
      <c r="N83" s="61"/>
      <c r="O83" s="14"/>
      <c r="P83" s="14"/>
      <c r="Q83" s="54"/>
      <c r="R83" s="54"/>
      <c r="S83" s="62"/>
      <c r="T83" s="62"/>
      <c r="U83" s="62"/>
      <c r="V83" s="62"/>
      <c r="W83" s="62"/>
      <c r="X83" s="62"/>
      <c r="Y83" s="62"/>
      <c r="Z83" s="62"/>
      <c r="AA83" s="62"/>
      <c r="AB83" s="62"/>
      <c r="AC83" s="62"/>
      <c r="AD83" s="62"/>
      <c r="AE83" s="62"/>
      <c r="AF83" s="62"/>
      <c r="AG83" s="62"/>
      <c r="AH83" s="62"/>
      <c r="AI83" s="62"/>
      <c r="AJ83" s="62"/>
      <c r="AK83" s="62"/>
    </row>
    <row r="84" spans="1:37" ht="102" hidden="1">
      <c r="A84" s="297"/>
      <c r="B84" s="298">
        <f>+IF(L92&lt;4,L92,3)</f>
        <v>3</v>
      </c>
      <c r="C84" s="298" t="s">
        <v>34</v>
      </c>
      <c r="D84" s="52"/>
      <c r="E84" s="52"/>
      <c r="F84" s="59"/>
      <c r="G84" s="277"/>
      <c r="H84" s="59"/>
      <c r="I84" s="295">
        <f>+DAY(K83)-DAY(I4)</f>
        <v>31</v>
      </c>
      <c r="J84" s="287">
        <f>+MONTH(K83)-MONTH(I4)</f>
        <v>11</v>
      </c>
      <c r="K84" s="57" t="s">
        <v>23</v>
      </c>
      <c r="L84" s="127"/>
      <c r="M84" s="61"/>
      <c r="N84" s="61"/>
      <c r="O84" s="14"/>
      <c r="P84" s="14"/>
      <c r="Q84" s="54"/>
      <c r="R84" s="54"/>
      <c r="S84" s="62"/>
      <c r="T84" s="62"/>
      <c r="U84" s="62"/>
      <c r="V84" s="62"/>
      <c r="W84" s="62"/>
      <c r="X84" s="62"/>
      <c r="Y84" s="62"/>
      <c r="Z84" s="62"/>
      <c r="AA84" s="62"/>
      <c r="AB84" s="62"/>
      <c r="AC84" s="62"/>
      <c r="AD84" s="62"/>
      <c r="AE84" s="62"/>
      <c r="AF84" s="62"/>
      <c r="AG84" s="62"/>
      <c r="AH84" s="62"/>
      <c r="AI84" s="62"/>
      <c r="AJ84" s="62"/>
      <c r="AK84" s="62"/>
    </row>
    <row r="85" spans="1:37" ht="12.75" hidden="1">
      <c r="A85" s="297"/>
      <c r="B85" s="298"/>
      <c r="C85" s="298"/>
      <c r="D85" s="52"/>
      <c r="E85" s="52"/>
      <c r="F85" s="59"/>
      <c r="G85" s="277"/>
      <c r="H85" s="59"/>
      <c r="I85" s="255"/>
      <c r="J85" s="289">
        <f>+IF(I84&lt;-1,J84-1,IF(I84&gt;0,+J84+1,J84))</f>
        <v>12</v>
      </c>
      <c r="K85" s="144">
        <f>+YEAR(K83)-YEAR(I4)</f>
        <v>59</v>
      </c>
      <c r="L85" s="129"/>
      <c r="M85" s="61"/>
      <c r="N85" s="61"/>
      <c r="O85" s="14"/>
      <c r="P85" s="14"/>
      <c r="Q85" s="54"/>
      <c r="R85" s="54"/>
      <c r="S85" s="62"/>
      <c r="T85" s="62"/>
      <c r="U85" s="62"/>
      <c r="V85" s="62"/>
      <c r="W85" s="62"/>
      <c r="X85" s="62"/>
      <c r="Y85" s="62"/>
      <c r="Z85" s="62"/>
      <c r="AA85" s="62"/>
      <c r="AB85" s="62"/>
      <c r="AC85" s="62"/>
      <c r="AD85" s="62"/>
      <c r="AE85" s="62"/>
      <c r="AF85" s="62"/>
      <c r="AG85" s="62"/>
      <c r="AH85" s="62"/>
      <c r="AI85" s="62"/>
      <c r="AJ85" s="62"/>
      <c r="AK85" s="62"/>
    </row>
    <row r="86" spans="1:17" ht="12.75" hidden="1">
      <c r="A86" s="297"/>
      <c r="B86" s="298"/>
      <c r="C86" s="298"/>
      <c r="D86" s="52"/>
      <c r="E86" s="52"/>
      <c r="F86" s="59"/>
      <c r="G86" s="59"/>
      <c r="H86" s="59"/>
      <c r="I86" s="255"/>
      <c r="J86" s="289">
        <f>+IF(J85&lt;0,12+J85,J85)</f>
        <v>12</v>
      </c>
      <c r="K86" s="57">
        <f>INT(+K85+(J85/12))</f>
        <v>60</v>
      </c>
      <c r="L86" s="130"/>
      <c r="N86" s="61"/>
      <c r="O86" s="14"/>
      <c r="P86" s="14"/>
      <c r="Q86" s="54"/>
    </row>
    <row r="87" spans="1:16" ht="63.75" hidden="1">
      <c r="A87" s="297"/>
      <c r="B87" s="303">
        <f>+IF(B83=2,B84,0)</f>
        <v>0</v>
      </c>
      <c r="C87" s="303" t="s">
        <v>116</v>
      </c>
      <c r="D87" s="267"/>
      <c r="E87" s="267"/>
      <c r="F87" s="253"/>
      <c r="G87" s="59"/>
      <c r="H87" s="59"/>
      <c r="I87" s="261" t="s">
        <v>40</v>
      </c>
      <c r="J87" s="286">
        <f>+J86</f>
        <v>12</v>
      </c>
      <c r="K87" s="57"/>
      <c r="L87" s="127"/>
      <c r="N87" s="61"/>
      <c r="O87" s="14"/>
      <c r="P87" s="14"/>
    </row>
    <row r="88" spans="1:12" ht="12.75" hidden="1">
      <c r="A88" s="297"/>
      <c r="B88" s="303"/>
      <c r="C88" s="303"/>
      <c r="D88" s="267"/>
      <c r="E88" s="267"/>
      <c r="F88" s="253"/>
      <c r="G88" s="59"/>
      <c r="H88" s="59"/>
      <c r="I88" s="256"/>
      <c r="J88" s="286"/>
      <c r="K88" s="145">
        <f>+K86</f>
        <v>60</v>
      </c>
      <c r="L88" s="127"/>
    </row>
    <row r="89" spans="1:12" ht="12.75" hidden="1">
      <c r="A89" s="297"/>
      <c r="B89" s="298"/>
      <c r="C89" s="298"/>
      <c r="D89" s="52"/>
      <c r="E89" s="52"/>
      <c r="F89" s="59"/>
      <c r="G89" s="59"/>
      <c r="H89" s="59"/>
      <c r="I89" s="256"/>
      <c r="J89" s="286"/>
      <c r="K89" s="145"/>
      <c r="L89" s="127"/>
    </row>
    <row r="90" spans="1:12" ht="12.75" hidden="1">
      <c r="A90" s="297"/>
      <c r="B90" s="298"/>
      <c r="C90" s="298"/>
      <c r="D90" s="52"/>
      <c r="E90" s="52"/>
      <c r="F90" s="59"/>
      <c r="G90" s="59"/>
      <c r="H90" s="59"/>
      <c r="I90" s="255"/>
      <c r="J90" s="273"/>
      <c r="K90" s="145"/>
      <c r="L90" s="143"/>
    </row>
    <row r="91" spans="1:12" ht="12.75" hidden="1">
      <c r="A91" s="297"/>
      <c r="B91" s="257" t="s">
        <v>44</v>
      </c>
      <c r="C91" s="257"/>
      <c r="D91" s="270"/>
      <c r="E91" s="58"/>
      <c r="F91" s="10"/>
      <c r="G91" s="1"/>
      <c r="H91" s="65"/>
      <c r="I91" s="306" t="s">
        <v>41</v>
      </c>
      <c r="J91" s="307"/>
      <c r="K91" s="57"/>
      <c r="L91" s="127"/>
    </row>
    <row r="92" spans="1:12" ht="64.5" hidden="1" thickBot="1">
      <c r="A92" s="297"/>
      <c r="B92" s="271" t="b">
        <f>+IF(H35&gt;0,TRUE,IF(H36&gt;0,TRUE,IF(H37&gt;0,TRUE,FALSE)))</f>
        <v>0</v>
      </c>
      <c r="C92" s="298" t="s">
        <v>70</v>
      </c>
      <c r="D92" s="258"/>
      <c r="E92" s="258"/>
      <c r="F92" s="63"/>
      <c r="G92" s="65"/>
      <c r="H92" s="65"/>
      <c r="I92" s="313" t="s">
        <v>117</v>
      </c>
      <c r="J92" s="314"/>
      <c r="K92" s="308"/>
      <c r="L92" s="309">
        <f>+J87+K88*12</f>
        <v>732</v>
      </c>
    </row>
    <row r="93" spans="1:12" ht="13.5" hidden="1" thickBot="1">
      <c r="A93" s="297"/>
      <c r="B93" s="272"/>
      <c r="C93" s="257"/>
      <c r="D93" s="257"/>
      <c r="E93" s="257"/>
      <c r="F93" s="65"/>
      <c r="G93" s="5"/>
      <c r="H93" s="312"/>
      <c r="I93" s="317" t="s">
        <v>42</v>
      </c>
      <c r="J93" s="318"/>
      <c r="K93" s="315"/>
      <c r="L93" s="310">
        <f>+IF(L80+B87&gt;L92,L92-B87,+L80)</f>
        <v>0</v>
      </c>
    </row>
    <row r="94" spans="1:12" ht="13.5" hidden="1" thickBot="1">
      <c r="A94" s="297"/>
      <c r="B94" s="272"/>
      <c r="C94" s="257"/>
      <c r="D94" s="257"/>
      <c r="E94" s="257"/>
      <c r="F94" s="65"/>
      <c r="G94" s="65"/>
      <c r="H94" s="63"/>
      <c r="I94" s="316"/>
      <c r="K94" s="319"/>
      <c r="L94" s="311">
        <f>+IF(L93&gt;0,L93,0)</f>
        <v>0</v>
      </c>
    </row>
    <row r="95" spans="1:9" ht="36" hidden="1">
      <c r="A95" s="297"/>
      <c r="B95" s="271">
        <f>+IF(I3&gt;E95,62,60)</f>
        <v>60</v>
      </c>
      <c r="C95" s="257" t="s">
        <v>73</v>
      </c>
      <c r="D95" s="257"/>
      <c r="E95" s="268">
        <v>32873</v>
      </c>
      <c r="F95" s="182">
        <f>+I3</f>
        <v>0</v>
      </c>
      <c r="G95" s="66"/>
      <c r="H95" s="65"/>
      <c r="I95" s="255"/>
    </row>
    <row r="96" spans="1:10" ht="36" hidden="1">
      <c r="A96" s="297"/>
      <c r="B96" s="272" t="b">
        <v>0</v>
      </c>
      <c r="C96" s="257" t="s">
        <v>53</v>
      </c>
      <c r="D96" s="257"/>
      <c r="E96" s="257"/>
      <c r="F96" s="65"/>
      <c r="G96" s="66"/>
      <c r="H96" s="65"/>
      <c r="I96" s="254"/>
      <c r="J96" s="2"/>
    </row>
    <row r="97" spans="1:11" ht="38.25" hidden="1">
      <c r="A97" s="297"/>
      <c r="B97" s="301" t="b">
        <v>0</v>
      </c>
      <c r="C97" s="304" t="s">
        <v>52</v>
      </c>
      <c r="D97" s="259"/>
      <c r="E97" s="259"/>
      <c r="F97" s="68"/>
      <c r="G97" s="59"/>
      <c r="H97" s="59"/>
      <c r="I97" s="254"/>
      <c r="J97" s="2"/>
      <c r="K97" s="146"/>
    </row>
    <row r="98" spans="1:11" ht="38.25" hidden="1">
      <c r="A98" s="297"/>
      <c r="B98" s="301" t="b">
        <v>0</v>
      </c>
      <c r="C98" s="299" t="s">
        <v>71</v>
      </c>
      <c r="D98" s="260"/>
      <c r="E98" s="260"/>
      <c r="F98" s="166"/>
      <c r="G98" s="59"/>
      <c r="H98" s="59"/>
      <c r="I98" s="254"/>
      <c r="J98" s="2"/>
      <c r="K98" s="146"/>
    </row>
    <row r="99" spans="1:11" ht="12.75" hidden="1">
      <c r="A99" s="297"/>
      <c r="B99" s="298"/>
      <c r="C99" s="299"/>
      <c r="D99" s="260"/>
      <c r="E99" s="260"/>
      <c r="F99" s="57"/>
      <c r="G99" s="59"/>
      <c r="H99" s="59"/>
      <c r="I99" s="254"/>
      <c r="J99" s="2"/>
      <c r="K99" s="146"/>
    </row>
    <row r="100" spans="1:11" ht="12.75" hidden="1">
      <c r="A100" s="297"/>
      <c r="B100" s="298"/>
      <c r="C100" s="299"/>
      <c r="D100" s="269"/>
      <c r="E100" s="269"/>
      <c r="F100" s="57"/>
      <c r="G100" s="59"/>
      <c r="H100" s="59"/>
      <c r="I100" s="254"/>
      <c r="J100" s="2"/>
      <c r="K100" s="146"/>
    </row>
    <row r="101" spans="1:11" ht="24" customHeight="1">
      <c r="A101" s="430" t="str">
        <f>+IF(D52&gt;0,"Verified &amp; Approved by GPS focal point:","Verified by GPS focal point:")</f>
        <v>Verified &amp; Approved by GPS focal point:</v>
      </c>
      <c r="B101" s="431"/>
      <c r="C101" s="432"/>
      <c r="D101" s="415"/>
      <c r="E101" s="415"/>
      <c r="F101" s="429"/>
      <c r="G101" s="429"/>
      <c r="H101" s="415"/>
      <c r="I101" s="254"/>
      <c r="J101" s="2"/>
      <c r="K101" s="146"/>
    </row>
    <row r="102" spans="1:11" ht="28.5" customHeight="1" hidden="1">
      <c r="A102" s="297"/>
      <c r="B102" s="298"/>
      <c r="C102" s="298"/>
      <c r="D102" s="52"/>
      <c r="E102" s="52"/>
      <c r="F102" s="59"/>
      <c r="G102" s="59"/>
      <c r="H102" s="59"/>
      <c r="I102" s="255"/>
      <c r="J102" s="55"/>
      <c r="K102" s="146"/>
    </row>
    <row r="103" spans="1:11" ht="24" customHeight="1">
      <c r="A103" s="203" t="s">
        <v>123</v>
      </c>
      <c r="I103" s="55"/>
      <c r="J103" s="55"/>
      <c r="K103" s="14"/>
    </row>
    <row r="104" spans="1:11" ht="18" customHeight="1">
      <c r="A104" s="404"/>
      <c r="B104" s="405"/>
      <c r="C104" s="405"/>
      <c r="D104" s="405"/>
      <c r="E104" s="405"/>
      <c r="F104" s="405"/>
      <c r="G104" s="405"/>
      <c r="H104" s="405"/>
      <c r="I104" s="405"/>
      <c r="J104" s="406"/>
      <c r="K104" s="14"/>
    </row>
    <row r="105" spans="1:11" ht="85.5" customHeight="1">
      <c r="A105" s="407"/>
      <c r="B105" s="408"/>
      <c r="C105" s="408"/>
      <c r="D105" s="408"/>
      <c r="E105" s="408"/>
      <c r="F105" s="408"/>
      <c r="G105" s="408"/>
      <c r="H105" s="408"/>
      <c r="I105" s="408"/>
      <c r="J105" s="409"/>
      <c r="K105" s="14"/>
    </row>
    <row r="106" ht="47.25" customHeight="1"/>
    <row r="126" ht="12.75"/>
    <row r="127" ht="12.75"/>
    <row r="128" ht="12.75"/>
    <row r="129" ht="12.75"/>
  </sheetData>
  <sheetProtection password="DC13" sheet="1"/>
  <mergeCells count="52">
    <mergeCell ref="D101:E101"/>
    <mergeCell ref="A59:C59"/>
    <mergeCell ref="F59:H59"/>
    <mergeCell ref="F60:H60"/>
    <mergeCell ref="F101:H101"/>
    <mergeCell ref="A60:C60"/>
    <mergeCell ref="A101:C101"/>
    <mergeCell ref="A104:J105"/>
    <mergeCell ref="B55:C55"/>
    <mergeCell ref="B57:C57"/>
    <mergeCell ref="B51:C51"/>
    <mergeCell ref="B56:C56"/>
    <mergeCell ref="D59:E59"/>
    <mergeCell ref="D60:E60"/>
    <mergeCell ref="A61:C61"/>
    <mergeCell ref="D61:E61"/>
    <mergeCell ref="F61:H61"/>
    <mergeCell ref="A1:J1"/>
    <mergeCell ref="I6:J6"/>
    <mergeCell ref="F17:H17"/>
    <mergeCell ref="I3:J3"/>
    <mergeCell ref="I4:J4"/>
    <mergeCell ref="I5:J5"/>
    <mergeCell ref="I7:J7"/>
    <mergeCell ref="C4:E4"/>
    <mergeCell ref="C5:E5"/>
    <mergeCell ref="C3:E3"/>
    <mergeCell ref="I8:J8"/>
    <mergeCell ref="B24:C24"/>
    <mergeCell ref="A9:J9"/>
    <mergeCell ref="F11:H11"/>
    <mergeCell ref="A8:B8"/>
    <mergeCell ref="C8:E8"/>
    <mergeCell ref="E14:E16"/>
    <mergeCell ref="C6:E6"/>
    <mergeCell ref="C7:E7"/>
    <mergeCell ref="B41:D41"/>
    <mergeCell ref="B42:D42"/>
    <mergeCell ref="B40:D40"/>
    <mergeCell ref="B39:D39"/>
    <mergeCell ref="A31:B31"/>
    <mergeCell ref="A32:B32"/>
    <mergeCell ref="D31:E31"/>
    <mergeCell ref="A36:E36"/>
    <mergeCell ref="F36:G36"/>
    <mergeCell ref="E37:G37"/>
    <mergeCell ref="A35:D35"/>
    <mergeCell ref="B54:C54"/>
    <mergeCell ref="A48:E48"/>
    <mergeCell ref="B50:E50"/>
    <mergeCell ref="A47:I47"/>
    <mergeCell ref="A46:I46"/>
  </mergeCells>
  <conditionalFormatting sqref="F51:G51">
    <cfRule type="expression" priority="9" dxfId="0" stopIfTrue="1">
      <formula>"$B$94=TRUE"</formula>
    </cfRule>
  </conditionalFormatting>
  <conditionalFormatting sqref="F52:G58">
    <cfRule type="expression" priority="10" dxfId="0" stopIfTrue="1">
      <formula>$B$92=FALSE</formula>
    </cfRule>
  </conditionalFormatting>
  <conditionalFormatting sqref="D57">
    <cfRule type="cellIs" priority="11" dxfId="8" operator="equal" stopIfTrue="1">
      <formula>0</formula>
    </cfRule>
    <cfRule type="cellIs" priority="12" dxfId="5" operator="notEqual" stopIfTrue="1">
      <formula>1</formula>
    </cfRule>
  </conditionalFormatting>
  <conditionalFormatting sqref="H27">
    <cfRule type="cellIs" priority="13" dxfId="5" operator="greaterThan" stopIfTrue="1">
      <formula>60</formula>
    </cfRule>
  </conditionalFormatting>
  <conditionalFormatting sqref="H36">
    <cfRule type="cellIs" priority="14" dxfId="5" operator="greaterThan" stopIfTrue="1">
      <formula>12</formula>
    </cfRule>
  </conditionalFormatting>
  <conditionalFormatting sqref="D16">
    <cfRule type="expression" priority="6" dxfId="1" stopIfTrue="1">
      <formula>$D$16&gt;$D$15+$D$14</formula>
    </cfRule>
  </conditionalFormatting>
  <conditionalFormatting sqref="E57">
    <cfRule type="expression" priority="4" dxfId="3" stopIfTrue="1">
      <formula>"($I$45-$E$57)*.000001&gt;0"</formula>
    </cfRule>
  </conditionalFormatting>
  <conditionalFormatting sqref="J47">
    <cfRule type="expression" priority="3" dxfId="1" stopIfTrue="1">
      <formula>+$H$27&gt;0</formula>
    </cfRule>
  </conditionalFormatting>
  <conditionalFormatting sqref="D25:H25">
    <cfRule type="expression" priority="1" dxfId="1" stopIfTrue="1">
      <formula>$H$27&gt;0</formula>
    </cfRule>
  </conditionalFormatting>
  <dataValidations count="27">
    <dataValidation allowBlank="1" showInputMessage="1" showErrorMessage="1" promptTitle="Health insurance" prompt="The monthly health insurance premium charge to the staff member" sqref="D21"/>
    <dataValidation allowBlank="1" showInputMessage="1" showErrorMessage="1" promptTitle="Life insurance" prompt="The monthly life insurance premium paid by the staff member." sqref="D23"/>
    <dataValidation allowBlank="1" showInputMessage="1" showErrorMessage="1" promptTitle="Spouse allowance" prompt="The monthly amount the staff member is entitled to for spouse allowance" sqref="D19"/>
    <dataValidation allowBlank="1" showInputMessage="1" showErrorMessage="1" promptTitle="Dependant child allowance" prompt="The monthly amount that the staff member receives for dependant child allowance" sqref="D20"/>
    <dataValidation allowBlank="1" showInputMessage="1" showErrorMessage="1" promptTitle="Health insurance (organization) " prompt="The amount of the total monthly health insurance premium, for this staff member, that is paid by the organization." sqref="G21"/>
    <dataValidation type="decimal" allowBlank="1" showInputMessage="1" showErrorMessage="1" promptTitle="Special Leave Without Pay" prompt="Enter the total number of months that the staff member took SLWOP before the last day of active service." errorTitle="Months of SLWOP taken " error="Please enter a valid number" sqref="H31">
      <formula1>0</formula1>
      <formula2>500</formula2>
    </dataValidation>
    <dataValidation type="decimal" allowBlank="1" showInputMessage="1" showErrorMessage="1" promptTitle="Unused annual leave" prompt="Enter the number of unused annual leave days remaining as of the last day of active service. Do not include any unused annual leave days being paid through the normal payroll." errorTitle="unused annual leave days" error="Please enter a number between 0 and 60 (maximum).  " sqref="H27">
      <formula1>0</formula1>
      <formula2>60</formula2>
    </dataValidation>
    <dataValidation type="decimal" allowBlank="1" showInputMessage="1" showErrorMessage="1" promptTitle="SLWOP after last working day" prompt="Enter the number of years of SLWOP after the last day of active service.&#10;" errorTitle="SLWOP after last active day" error="amount entered is out of range. Please enter a number between 0 and 20 " sqref="H35">
      <formula1>0</formula1>
      <formula2>20</formula2>
    </dataValidation>
    <dataValidation type="whole" allowBlank="1" showInputMessage="1" showErrorMessage="1" promptTitle="SLWOP after last working day" prompt="Enter the number of months of SLWOP taken after the last day of active service." errorTitle="Out of range" error="please enter a number between 0-12" sqref="H36">
      <formula1>0</formula1>
      <formula2>12</formula2>
    </dataValidation>
    <dataValidation type="decimal" allowBlank="1" showInputMessage="1" showErrorMessage="1" promptTitle="SLWOP after last working day" prompt="Enter the number of working days for a partial month taken after the last day of service." errorTitle="Out of range" error="Enter a number between 0 - 31" sqref="H37">
      <formula1>0</formula1>
      <formula2>31</formula2>
    </dataValidation>
    <dataValidation type="decimal" allowBlank="1" showInputMessage="1" showErrorMessage="1" promptTitle="Monthly pension comtribution" prompt="Please enter the monthly pension contribution paid by the staff member" errorTitle="Out of range" error="Please enter a number greater that 0" sqref="F39">
      <formula1>0</formula1>
      <formula2>99999999999999</formula2>
    </dataValidation>
    <dataValidation type="decimal" operator="greaterThan" allowBlank="1" showInputMessage="1" showErrorMessage="1" promptTitle="Exchange rate to the USD" prompt="Enter the UN exchange rate of the last day of active service, even if this is not the current month." errorTitle="UN exchange rate" error="Please enter the UN exchange rate.  This must be a positive number." sqref="G48">
      <formula1>0</formula1>
    </dataValidation>
    <dataValidation type="decimal" allowBlank="1" showInputMessage="1" showErrorMessage="1" promptTitle="UNDP core funding" prompt="Enter the percentage of time the staff member was funded by core funding.&#10;Total months worked and funded by core funding divided by total number of months worked under all funding sources combined." errorTitle="out of range" error="enter a number between 0 and 100" sqref="D52">
      <formula1>0</formula1>
      <formula2>100</formula2>
    </dataValidation>
    <dataValidation type="decimal" allowBlank="1" showInputMessage="1" showErrorMessage="1" promptTitle="Non core funding" prompt="Enter the total percentage of time the staff member was funded by non-core funding (extra budgetary funding). Total number of months worked and funded by non-core funding divided by the total number of months worked under all funding sources combined." errorTitle="Out of range" error="Please enter a number between 1 and 100" sqref="D53">
      <formula1>0</formula1>
      <formula2>100</formula2>
    </dataValidation>
    <dataValidation type="decimal" allowBlank="1" showInputMessage="1" showErrorMessage="1" promptTitle="Other funding source" prompt="Enter the percentage of the percentage of time the staff member was funded by this funding source. Total number of months worked and funded by this funding source divided by the total number of months worked under all funding sources combined." sqref="D55:D56">
      <formula1>0</formula1>
      <formula2>100</formula2>
    </dataValidation>
    <dataValidation type="whole" operator="greaterThanOrEqual" allowBlank="1" showInputMessage="1" showErrorMessage="1" promptTitle="Number of months for Medical" prompt="The number of months for Medical Insurance during SLWOP, after the last day of service.  Medical insurance is paid for each full calendar month.  If the last day of service is mid month, this may differ from the total SLWOP months. Overwrite if necessary." sqref="E41">
      <formula1>0</formula1>
    </dataValidation>
    <dataValidation type="whole" operator="greaterThanOrEqual" allowBlank="1" showInputMessage="1" showErrorMessage="1" promptTitle="Number of months for Life ins." prompt="The number of months for Life Insurance during SLWOP, after the last day of service.  Lifel insurance is paid for each full calendar month.  If the last day of service is mid month, this may differ from the total SLWOP months. Overwrite if necessary." sqref="E42">
      <formula1>0</formula1>
    </dataValidation>
    <dataValidation type="decimal" operator="greaterThanOrEqual" allowBlank="1" showInputMessage="1" showErrorMessage="1" promptTitle="Amounts owed to organization" prompt="Enter the amount of all outstanding amounts due from the staff member (ie. salary advances, telephone charges). These will be deducted from the agreed separation payment to the staff member." errorTitle="Amounts owed to organization" error="Please enter a positive amount." sqref="H44">
      <formula1>0</formula1>
    </dataValidation>
    <dataValidation type="decimal" allowBlank="1" showInputMessage="1" showErrorMessage="1" promptTitle="Other funding source" prompt="Enter the percentage of the total time the staff member was funded by this funding source. &#10;Monthsworked and funded by this funding source divided by the total months worked under all funding sources combined." sqref="D54">
      <formula1>0</formula1>
      <formula2>100</formula2>
    </dataValidation>
    <dataValidation allowBlank="1" showInputMessage="1" showErrorMessage="1" promptTitle="Verification by DRR(O)" prompt="The DRR(O) must verify that the data entered is correct.  This is for audit and accountability purposes.  The DRR(O) is ultimately responsible for the accuracy fo the data entered." sqref="A60:C60"/>
    <dataValidation allowBlank="1" showInputMessage="1" showErrorMessage="1" promptTitle="retirement age" prompt="&quot;Normal retirement age&quot; is normally 60 if the entry on duty was before 1 January 1990.  When the participation in the common system began on or after 1 January 1990, the retirement age is usually 62." errorTitle="Normal retrement age" error="Please enter a valid number of years" sqref="I8:J8"/>
    <dataValidation type="date" allowBlank="1" showInputMessage="1" showErrorMessage="1" promptTitle="Entry on Duty" prompt="The first day of service&#10;" errorTitle="incorrect date format" error="Please enter  in the correctdate  format (ie. 01-Feb-95)" sqref="I3:J3">
      <formula1>7337</formula1>
      <formula2>43862</formula2>
    </dataValidation>
    <dataValidation type="date" allowBlank="1" showInputMessage="1" showErrorMessage="1" promptTitle="Date of Birth" prompt="Birthdate of the staff member" errorTitle="Date of birth" error="Please use the correct date format dd-mmm-yy (ie. 01-feb-95)" sqref="I7:J7">
      <formula1>5480</formula1>
      <formula2>54789</formula2>
    </dataValidation>
    <dataValidation type="date" allowBlank="1" showInputMessage="1" showErrorMessage="1" promptTitle="Last day of active service" prompt="The last day the staff member actually worked.&#10;" errorTitle="incorrect date format" error="Please enter  in the correctdate  format (ie. 01-Feb-95)" sqref="I4:J4">
      <formula1>7337</formula1>
      <formula2>43862</formula2>
    </dataValidation>
    <dataValidation type="date" allowBlank="1" showInputMessage="1" showErrorMessage="1" promptTitle="Separation date (COB)" prompt="The last day of service or the last day on SLWOP after the last day of service.  If the staff member is not taking SLWOP after the last day of service the separation date is the same as the last day of active service.&#10;" errorTitle="incorrect date format" error="Please enter  in the correctdate  format (ie. 01-Feb-95)" sqref="I5:J5">
      <formula1>7337</formula1>
      <formula2>43862</formula2>
    </dataValidation>
    <dataValidation allowBlank="1" showInputMessage="1" showErrorMessage="1" promptTitle="Applicable to regular staff:" prompt="on UNDP Letters of appointment, who either hold a permanemt appointment or have been serving continuously on fixed term appointments (100 series) for a minimum of 5 years, not including periods of work on SSA, Service Contract, ALD or 200 series. " sqref="A1:J1"/>
    <dataValidation allowBlank="1" showInputMessage="1" showErrorMessage="1" prompt="Must be verified by GPS focal point.  Must additionally be approved by GPS focal point when any core funds are charged." sqref="A101:C101"/>
  </dataValidations>
  <hyperlinks>
    <hyperlink ref="F11:H11" r:id="rId1" display="Monthly Salary"/>
    <hyperlink ref="A48:E48" r:id="rId2" display="http://www.un.org/depts/treasury"/>
    <hyperlink ref="G8:H8" r:id="rId3" display="normal retirement age"/>
    <hyperlink ref="B19:B20" r:id="rId4" display="Spouse allowance:"/>
    <hyperlink ref="F12:F14" r:id="rId5" display="Gross Salary:"/>
  </hyperlinks>
  <printOptions horizontalCentered="1"/>
  <pageMargins left="0.31496062992125984" right="0.03937007874015748" top="0.31496062992125984" bottom="0.2755905511811024" header="0.5118110236220472" footer="0"/>
  <pageSetup fitToHeight="1" fitToWidth="1" horizontalDpi="200" verticalDpi="200" orientation="portrait" paperSize="9" scale="74" r:id="rId8"/>
  <headerFooter alignWithMargins="0">
    <oddFooter>&amp;L
Subject to written and signed approval by GPS.
No payment should be made before receiving an approved
and signed copy of the calculation sheet.&amp;R&amp;D&amp;" "&amp;",Regular"&amp;T&amp;F</oddFooter>
  </headerFooter>
  <legacyDrawing r:id="rId7"/>
</worksheet>
</file>

<file path=xl/worksheets/sheet2.xml><?xml version="1.0" encoding="utf-8"?>
<worksheet xmlns="http://schemas.openxmlformats.org/spreadsheetml/2006/main" xmlns:r="http://schemas.openxmlformats.org/officeDocument/2006/relationships">
  <dimension ref="A1:H29"/>
  <sheetViews>
    <sheetView zoomScalePageLayoutView="0" workbookViewId="0" topLeftCell="A1">
      <selection activeCell="A19" sqref="A19"/>
    </sheetView>
  </sheetViews>
  <sheetFormatPr defaultColWidth="9.140625" defaultRowHeight="12.75"/>
  <cols>
    <col min="1" max="1" width="28.28125" style="0" customWidth="1"/>
    <col min="2" max="2" width="2.7109375" style="0" customWidth="1"/>
    <col min="3" max="3" width="27.8515625" style="0" customWidth="1"/>
    <col min="4" max="4" width="15.28125" style="183" customWidth="1"/>
    <col min="7" max="7" width="14.7109375" style="0" customWidth="1"/>
    <col min="8" max="8" width="34.8515625" style="0" customWidth="1"/>
  </cols>
  <sheetData>
    <row r="1" spans="1:8" ht="12.75">
      <c r="A1" s="210" t="s">
        <v>81</v>
      </c>
      <c r="B1" s="211"/>
      <c r="C1" s="211"/>
      <c r="D1" s="245"/>
      <c r="E1" s="248"/>
      <c r="G1" s="218" t="s">
        <v>101</v>
      </c>
      <c r="H1" s="214"/>
    </row>
    <row r="2" spans="1:8" ht="12.75">
      <c r="A2" s="212"/>
      <c r="B2" s="213"/>
      <c r="C2" s="213"/>
      <c r="D2" s="239"/>
      <c r="E2" s="249"/>
      <c r="G2" s="215">
        <v>14001</v>
      </c>
      <c r="H2" s="216" t="s">
        <v>82</v>
      </c>
    </row>
    <row r="3" spans="1:8" ht="12.75">
      <c r="A3" s="246" t="s">
        <v>74</v>
      </c>
      <c r="B3" s="241"/>
      <c r="C3" s="241" t="s">
        <v>75</v>
      </c>
      <c r="D3" s="241" t="s">
        <v>76</v>
      </c>
      <c r="E3" s="249"/>
      <c r="G3" s="215">
        <v>14002</v>
      </c>
      <c r="H3" s="216" t="s">
        <v>102</v>
      </c>
    </row>
    <row r="4" spans="1:8" ht="12.75">
      <c r="A4" s="225">
        <f>+IF(D4&gt;0,"To be provided by GPS","")</f>
      </c>
      <c r="B4" s="184"/>
      <c r="C4" s="184">
        <f>IF(D4=0,"",+'CALCULATION SHEET'!B52)</f>
      </c>
      <c r="D4" s="242">
        <f>+'CALCULATION SHEET'!H52</f>
        <v>0</v>
      </c>
      <c r="E4" s="236"/>
      <c r="G4" s="215">
        <v>14005</v>
      </c>
      <c r="H4" s="216" t="s">
        <v>103</v>
      </c>
    </row>
    <row r="5" spans="1:8" ht="15" customHeight="1">
      <c r="A5" s="225">
        <f>+IF(D5&gt;0,"Detemined by CO","")</f>
      </c>
      <c r="B5" s="184"/>
      <c r="C5" s="184">
        <f>IF(D5=0,"",+'CALCULATION SHEET'!B53)</f>
      </c>
      <c r="D5" s="242">
        <f>+'CALCULATION SHEET'!H53</f>
        <v>0</v>
      </c>
      <c r="E5" s="236"/>
      <c r="G5" s="215">
        <v>14010</v>
      </c>
      <c r="H5" s="216" t="s">
        <v>104</v>
      </c>
    </row>
    <row r="6" spans="1:8" ht="12.75">
      <c r="A6" s="225">
        <f>+IF(D6=0,"",IF(D6="","","Detemined by "&amp;C6))</f>
      </c>
      <c r="B6" s="184"/>
      <c r="C6" s="184">
        <f>IF(D6="","",IF(D6=0,"",+'CALCULATION SHEET'!B54))</f>
      </c>
      <c r="D6" s="242">
        <f>IF(+'CALCULATION SHEET'!H54="","",+IF(+'CALCULATION SHEET'!H54=0,"",+'CALCULATION SHEET'!H54))</f>
      </c>
      <c r="E6" s="236"/>
      <c r="G6" s="215">
        <v>14015</v>
      </c>
      <c r="H6" s="216" t="s">
        <v>105</v>
      </c>
    </row>
    <row r="7" spans="1:8" ht="12.75">
      <c r="A7" s="225">
        <f>+IF(D7="","",+IF(D7&gt;0,"Detemined by "&amp;C7,""))</f>
      </c>
      <c r="B7" s="184"/>
      <c r="C7" s="184">
        <f>IF(D7="","",+'CALCULATION SHEET'!B55)</f>
      </c>
      <c r="D7" s="242">
        <f>IF(+'CALCULATION SHEET'!H55&gt;0,+'CALCULATION SHEET'!H55,"")</f>
      </c>
      <c r="E7" s="236"/>
      <c r="G7" s="215">
        <v>14020</v>
      </c>
      <c r="H7" s="216" t="s">
        <v>106</v>
      </c>
    </row>
    <row r="8" spans="1:8" ht="12.75">
      <c r="A8" s="225">
        <f>IF(D8="","",+IF(D8&gt;0,"Detemined by "&amp;C8,""))</f>
      </c>
      <c r="B8" s="184"/>
      <c r="C8" s="184">
        <f>IF(+D8="","",+'CALCULATION SHEET'!B56)</f>
      </c>
      <c r="D8" s="242">
        <f>IF(+'CALCULATION SHEET'!H56&gt;0,+'CALCULATION SHEET'!H56,"")</f>
      </c>
      <c r="E8" s="236"/>
      <c r="G8" s="215">
        <v>14022</v>
      </c>
      <c r="H8" s="216" t="s">
        <v>107</v>
      </c>
    </row>
    <row r="9" spans="1:8" ht="12.75">
      <c r="A9" s="225">
        <f>+IF(D9="","",IF(D9&lt;0,23010,""))</f>
      </c>
      <c r="B9" s="184"/>
      <c r="C9" s="184">
        <f>+IF(D9="","","MIP")</f>
      </c>
      <c r="D9" s="243">
        <f>IF(+'CALCULATION SHEET'!J41-'CALCULATION SHEET'!H24-'CALCULATION SHEET'!E21=0,"",+'CALCULATION SHEET'!J41-'CALCULATION SHEET'!H24-'CALCULATION SHEET'!E21)</f>
      </c>
      <c r="E9" s="250">
        <f>+IF(D9&lt;0,"*","")</f>
      </c>
      <c r="G9" s="215">
        <v>14023</v>
      </c>
      <c r="H9" s="216" t="s">
        <v>108</v>
      </c>
    </row>
    <row r="10" spans="1:8" ht="12.75">
      <c r="A10" s="225">
        <f>+IF(D10="","",+IF(D10&lt;0,"23050",""))</f>
      </c>
      <c r="B10" s="184"/>
      <c r="C10" s="184">
        <f>+IF(D10="","","PENS")</f>
      </c>
      <c r="D10" s="243">
        <f>IF(+'CALCULATION SHEET'!J39+'CALCULATION SHEET'!J40=0,"",+'CALCULATION SHEET'!J39+'CALCULATION SHEET'!J40)</f>
      </c>
      <c r="E10" s="250">
        <f>+IF(D10&lt;0,"*","")</f>
      </c>
      <c r="G10" s="215">
        <v>14025</v>
      </c>
      <c r="H10" s="216" t="s">
        <v>109</v>
      </c>
    </row>
    <row r="11" spans="1:8" ht="12.75">
      <c r="A11" s="225">
        <f>+IF(D11="","",IF(D11=0,"","23025"))</f>
      </c>
      <c r="B11" s="184"/>
      <c r="C11" s="184">
        <f>+IF(D11="","","LIFE")</f>
      </c>
      <c r="D11" s="243">
        <f>IF(+'CALCULATION SHEET'!J42-'CALCULATION SHEET'!E23=0,"",+'CALCULATION SHEET'!J42-'CALCULATION SHEET'!E23)</f>
      </c>
      <c r="E11" s="250">
        <f>+IF(D11&lt;0,"*","")</f>
      </c>
      <c r="G11" s="215">
        <v>14030</v>
      </c>
      <c r="H11" s="216" t="s">
        <v>83</v>
      </c>
    </row>
    <row r="12" spans="1:8" ht="12.75">
      <c r="A12" s="226" t="s">
        <v>111</v>
      </c>
      <c r="B12" s="184"/>
      <c r="C12" s="184">
        <f>IF(D12&lt;0,+VLOOKUP(A12,G2:H29,2,1),"")</f>
      </c>
      <c r="D12" s="243">
        <f>IF(+'CALCULATION SHEET'!J44=0,"",+'CALCULATION SHEET'!J44)</f>
      </c>
      <c r="E12" s="250">
        <f>+IF(D12&lt;0,"*","")</f>
      </c>
      <c r="G12" s="215">
        <v>14035</v>
      </c>
      <c r="H12" s="216" t="s">
        <v>84</v>
      </c>
    </row>
    <row r="13" spans="1:8" ht="12.75">
      <c r="A13" s="227"/>
      <c r="B13" s="184"/>
      <c r="C13" s="207" t="s">
        <v>78</v>
      </c>
      <c r="D13" s="242">
        <f>+'CALCULATION SHEET'!J46</f>
        <v>0</v>
      </c>
      <c r="E13" s="236"/>
      <c r="G13" s="215">
        <v>14040</v>
      </c>
      <c r="H13" s="216" t="s">
        <v>85</v>
      </c>
    </row>
    <row r="14" spans="1:8" ht="12.75">
      <c r="A14" s="227">
        <f>+IF(D14&gt;0,"to be advised","")</f>
      </c>
      <c r="B14" s="184"/>
      <c r="C14" s="184">
        <f>+IF(D14&gt;0,"to be advised","")</f>
      </c>
      <c r="D14" s="244">
        <f>+D13-'CALCULATION SHEET'!J46</f>
        <v>0</v>
      </c>
      <c r="E14" s="236"/>
      <c r="G14" s="215">
        <v>14042</v>
      </c>
      <c r="H14" s="216" t="s">
        <v>86</v>
      </c>
    </row>
    <row r="15" spans="1:8" ht="12.75">
      <c r="A15" s="232"/>
      <c r="B15" s="233"/>
      <c r="C15" s="233"/>
      <c r="D15" s="240"/>
      <c r="E15" s="237"/>
      <c r="G15" s="215">
        <v>14045</v>
      </c>
      <c r="H15" s="216" t="s">
        <v>87</v>
      </c>
    </row>
    <row r="16" spans="1:8" ht="12.75">
      <c r="A16" s="232"/>
      <c r="B16" s="233"/>
      <c r="C16" s="233"/>
      <c r="D16" s="240"/>
      <c r="E16" s="236"/>
      <c r="G16" s="215">
        <v>14047</v>
      </c>
      <c r="H16" s="216" t="s">
        <v>88</v>
      </c>
    </row>
    <row r="17" spans="1:8" ht="12.75">
      <c r="A17" s="232" t="s">
        <v>115</v>
      </c>
      <c r="B17" s="233"/>
      <c r="C17" s="233"/>
      <c r="D17" s="240"/>
      <c r="E17" s="236"/>
      <c r="G17" s="215">
        <v>14050</v>
      </c>
      <c r="H17" s="216" t="s">
        <v>89</v>
      </c>
    </row>
    <row r="18" spans="1:8" ht="13.5" thickBot="1">
      <c r="A18" s="234"/>
      <c r="B18" s="235"/>
      <c r="C18" s="235"/>
      <c r="D18" s="247"/>
      <c r="E18" s="238"/>
      <c r="G18" s="215">
        <v>14051</v>
      </c>
      <c r="H18" s="216" t="s">
        <v>90</v>
      </c>
    </row>
    <row r="19" spans="7:8" ht="12.75">
      <c r="G19" s="215">
        <v>14055</v>
      </c>
      <c r="H19" s="216" t="s">
        <v>91</v>
      </c>
    </row>
    <row r="20" spans="7:8" ht="12.75">
      <c r="G20" s="215">
        <v>14056</v>
      </c>
      <c r="H20" s="216" t="s">
        <v>92</v>
      </c>
    </row>
    <row r="21" spans="3:8" ht="12.75">
      <c r="C21" s="231"/>
      <c r="G21" s="215">
        <v>14057</v>
      </c>
      <c r="H21" s="216" t="s">
        <v>93</v>
      </c>
    </row>
    <row r="22" spans="7:8" ht="12.75">
      <c r="G22" s="215">
        <v>14060</v>
      </c>
      <c r="H22" s="216" t="s">
        <v>94</v>
      </c>
    </row>
    <row r="23" spans="7:8" ht="12.75">
      <c r="G23" s="215">
        <v>14065</v>
      </c>
      <c r="H23" s="216" t="s">
        <v>95</v>
      </c>
    </row>
    <row r="24" spans="7:8" ht="12.75">
      <c r="G24" s="215">
        <v>14070</v>
      </c>
      <c r="H24" s="216" t="s">
        <v>96</v>
      </c>
    </row>
    <row r="25" spans="7:8" ht="12.75">
      <c r="G25" s="215">
        <v>14075</v>
      </c>
      <c r="H25" s="216" t="s">
        <v>97</v>
      </c>
    </row>
    <row r="26" spans="7:8" ht="12.75">
      <c r="G26" s="215">
        <v>14080</v>
      </c>
      <c r="H26" s="216" t="s">
        <v>98</v>
      </c>
    </row>
    <row r="27" spans="7:8" ht="12.75">
      <c r="G27" s="215">
        <v>14085</v>
      </c>
      <c r="H27" s="216" t="s">
        <v>99</v>
      </c>
    </row>
    <row r="28" spans="7:8" ht="12.75">
      <c r="G28" s="215">
        <v>14090</v>
      </c>
      <c r="H28" s="216" t="s">
        <v>100</v>
      </c>
    </row>
    <row r="29" spans="7:8" ht="13.5" thickBot="1">
      <c r="G29" s="228" t="s">
        <v>111</v>
      </c>
      <c r="H29" s="217" t="s">
        <v>112</v>
      </c>
    </row>
  </sheetData>
  <sheetProtection password="DC13" sheet="1" objects="1" scenarios="1"/>
  <conditionalFormatting sqref="A12">
    <cfRule type="expression" priority="1" dxfId="0" stopIfTrue="1">
      <formula>$D$12=0</formula>
    </cfRule>
  </conditionalFormatting>
  <dataValidations count="1">
    <dataValidation type="list" allowBlank="1" showInputMessage="1" showErrorMessage="1" promptTitle="account number " prompt="Enter the account to credit any outstanding amounts due from the staff member.See the table to the right for a list of accounts" sqref="A12">
      <formula1>$G$2:$G$29</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UNHOUSE - Copenhagen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bernardo</dc:creator>
  <cp:keywords/>
  <dc:description/>
  <cp:lastModifiedBy>steven.arielsson</cp:lastModifiedBy>
  <cp:lastPrinted>2010-09-29T13:13:12Z</cp:lastPrinted>
  <dcterms:created xsi:type="dcterms:W3CDTF">2003-10-10T08:12:17Z</dcterms:created>
  <dcterms:modified xsi:type="dcterms:W3CDTF">2012-08-07T08:19:01Z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